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06" windowWidth="15300" windowHeight="9405" tabRatio="839" activeTab="0"/>
  </bookViews>
  <sheets>
    <sheet name="フレーム" sheetId="1" r:id="rId1"/>
    <sheet name="11年歳入" sheetId="2" r:id="rId2"/>
    <sheet name="11年増減額一覧表" sheetId="3" r:id="rId3"/>
    <sheet name="11年増額" sheetId="4" r:id="rId4"/>
    <sheet name="11年減額" sheetId="5" r:id="rId5"/>
    <sheet name="11年特別会計 " sheetId="6" r:id="rId6"/>
    <sheet name="11年増額から外したもの" sheetId="7" r:id="rId7"/>
    <sheet name="10年増額" sheetId="8" r:id="rId8"/>
    <sheet name="10年減額" sheetId="9" r:id="rId9"/>
    <sheet name="10年特別会計" sheetId="10" r:id="rId10"/>
    <sheet name="直轄事業" sheetId="11" r:id="rId11"/>
    <sheet name="09増額" sheetId="12" r:id="rId12"/>
    <sheet name="09減額" sheetId="13" r:id="rId13"/>
    <sheet name="08減額" sheetId="14" r:id="rId14"/>
    <sheet name="08増額" sheetId="15" r:id="rId15"/>
  </sheets>
  <definedNames>
    <definedName name="_xlnm.Print_Area" localSheetId="13">'08減額'!$B$1:$V$146</definedName>
    <definedName name="_xlnm.Print_Area" localSheetId="14">'08増額'!$B$1:$U$61</definedName>
    <definedName name="_xlnm.Print_Area" localSheetId="12">'09減額'!$B$1:$R$149</definedName>
    <definedName name="_xlnm.Print_Area" localSheetId="11">'09増額'!$B$1:$Q$60</definedName>
    <definedName name="_xlnm.Print_Area" localSheetId="8">'10年減額'!$B$1:$V$131</definedName>
    <definedName name="_xlnm.Print_Area" localSheetId="7">'10年増額'!$B$1:$V$62</definedName>
    <definedName name="_xlnm.Print_Area" localSheetId="9">'10年特別会計'!$A$1:$J$55</definedName>
    <definedName name="_xlnm.Print_Area" localSheetId="4">'11年減額'!$B$3:$T$119</definedName>
    <definedName name="_xlnm.Print_Area" localSheetId="1">'11年歳入'!$A$1:$D$14</definedName>
    <definedName name="_xlnm.Print_Area" localSheetId="3">'11年増額'!$B$3:$T$59</definedName>
    <definedName name="_xlnm.Print_Area" localSheetId="2">'11年増減額一覧表'!$A$3:$U$158</definedName>
    <definedName name="_xlnm.Print_Area" localSheetId="5">'11年特別会計 '!$A$1:$J$55</definedName>
    <definedName name="_xlnm.Print_Titles" localSheetId="13">'08減額'!$4:$5</definedName>
    <definedName name="_xlnm.Print_Titles" localSheetId="14">'08増額'!$3:$4</definedName>
    <definedName name="_xlnm.Print_Titles" localSheetId="12">'09減額'!$3:$4</definedName>
    <definedName name="_xlnm.Print_Titles" localSheetId="11">'09増額'!$3:$4</definedName>
    <definedName name="_xlnm.Print_Titles" localSheetId="8">'10年減額'!$3:$4</definedName>
    <definedName name="_xlnm.Print_Titles" localSheetId="7">'10年増額'!$3:$4</definedName>
    <definedName name="_xlnm.Print_Titles" localSheetId="4">'11年減額'!$5:$6</definedName>
    <definedName name="_xlnm.Print_Titles" localSheetId="3">'11年増額'!$5:$6</definedName>
    <definedName name="_xlnm.Print_Titles" localSheetId="2">'11年増減額一覧表'!$5:$6</definedName>
  </definedNames>
  <calcPr fullCalcOnLoad="1"/>
</workbook>
</file>

<file path=xl/sharedStrings.xml><?xml version="1.0" encoding="utf-8"?>
<sst xmlns="http://schemas.openxmlformats.org/spreadsheetml/2006/main" count="5015" uniqueCount="865">
  <si>
    <t>地域改善対策分（奨学金返還金収納促進専門員設置費）と統合</t>
  </si>
  <si>
    <t>柔軟な制度に見直して、３割を削減。</t>
  </si>
  <si>
    <t>35人学級を中学校１年生で実施する
179学級×４００万円</t>
  </si>
  <si>
    <t>特別支援学校費</t>
  </si>
  <si>
    <t>特別支援学校職員費</t>
  </si>
  <si>
    <t>地域に学ぶ人権学習推進事業費</t>
  </si>
  <si>
    <t>人権教育指導者研修実施費等</t>
  </si>
  <si>
    <t>注：上書きするのでなく、昨年分を残して、今年の列をつくって、入力する</t>
  </si>
  <si>
    <t>企画職員費</t>
  </si>
  <si>
    <t>企画行政に従事する職員の給与費</t>
  </si>
  <si>
    <t>県防災計画室への自衛官の人事交流の給与費分を削減</t>
  </si>
  <si>
    <t>総務費</t>
  </si>
  <si>
    <t>人事管理費</t>
  </si>
  <si>
    <t>一般職員退職手当</t>
  </si>
  <si>
    <t>知事の退職金分</t>
  </si>
  <si>
    <t>知事の退職金４２６４万円を一般職員並みに減額。</t>
  </si>
  <si>
    <t>40%カット</t>
  </si>
  <si>
    <t>30%カット</t>
  </si>
  <si>
    <t>低所得者１・２の通所サービス利用料を無料にする費用</t>
  </si>
  <si>
    <t>老人医療費公費負担助成金</t>
  </si>
  <si>
    <t>「子どもの権利条約」教育推進費</t>
  </si>
  <si>
    <t>長寿祝福のつどい事業</t>
  </si>
  <si>
    <t>乳幼児等医療費公費負担助成費</t>
  </si>
  <si>
    <t>若年者を正規雇用する中小企業に補助を行う　100万円×２00人</t>
  </si>
  <si>
    <t>土木費寄付金</t>
  </si>
  <si>
    <t>小中学校や高等学校で、子どもの権利条約を生かした教育をすすめるための予算</t>
  </si>
  <si>
    <t>誘致スタッフを削減⇒淡路生活排水</t>
  </si>
  <si>
    <t>住宅対策費</t>
  </si>
  <si>
    <t>地域振興費</t>
  </si>
  <si>
    <t>地域振興推進費</t>
  </si>
  <si>
    <t>淡路島生活排水対策推進費</t>
  </si>
  <si>
    <t>工鉱業振興対策費</t>
  </si>
  <si>
    <t>産業立地促進費</t>
  </si>
  <si>
    <t>兵庫県ＣＯＥプログラム推進事業費</t>
  </si>
  <si>
    <t>５０％削減</t>
  </si>
  <si>
    <t>採算性も含め実現性とぼしい計画</t>
  </si>
  <si>
    <t>採算性に疑問のある高速道路の用地取得</t>
  </si>
  <si>
    <t>重度障害者児医療費公費負担助成費</t>
  </si>
  <si>
    <t>多様就業支援費</t>
  </si>
  <si>
    <t>事業創出促進費</t>
  </si>
  <si>
    <t>阪神高速道路出資金</t>
  </si>
  <si>
    <t>(独）日本高速道路保有・債務返済機構出資金（阪神高速道路）</t>
  </si>
  <si>
    <t>宝くじ発行益金</t>
  </si>
  <si>
    <t>４割カット</t>
  </si>
  <si>
    <t>兵庫県立大学附属中学校運営費</t>
  </si>
  <si>
    <t>兵庫県立大学附属中学校整備費</t>
  </si>
  <si>
    <t>建築防災対策推進費</t>
  </si>
  <si>
    <t>宝くじ益金</t>
  </si>
  <si>
    <t>財源：宝くじ益金</t>
  </si>
  <si>
    <t>特別型の増
財源：宝くじ益金</t>
  </si>
  <si>
    <t>財源：宝くじ益金</t>
  </si>
  <si>
    <t>青年雇用確保事業補助</t>
  </si>
  <si>
    <t>総務費</t>
  </si>
  <si>
    <t>障害者自立支援法施行経費</t>
  </si>
  <si>
    <t>商工会・商工会議所だけを通じた小規模対策事業を見直す。５割減</t>
  </si>
  <si>
    <t>外国・外資系企業誘致ツール整備事業費</t>
  </si>
  <si>
    <t>国庫補助を得て尼崎の森中央緑地外３県立都市公園の整備を実施する経費</t>
  </si>
  <si>
    <t>金出地、与布土、みくまり、西紀ダムの中止・凍結</t>
  </si>
  <si>
    <t>旧兵同協への団体補助金</t>
  </si>
  <si>
    <t>平成１８年度</t>
  </si>
  <si>
    <t>柔軟な制度に見直して、３分の１に削減。</t>
  </si>
  <si>
    <t>バス介助員、民間委託をやめて、１０台１０人分（１０人、月額14.3万円）を増額。</t>
  </si>
  <si>
    <t>平成19年度</t>
  </si>
  <si>
    <t>国が直轄で行う大阪国際空港整備事業にかかる地方負担金</t>
  </si>
  <si>
    <t>県費負担の小学校教職員にかかる給与費</t>
  </si>
  <si>
    <t>議会費</t>
  </si>
  <si>
    <t>議会運営費</t>
  </si>
  <si>
    <t>議員海外渡航費</t>
  </si>
  <si>
    <t>宝くじ益金を(      )に使途に振り向ける</t>
  </si>
  <si>
    <t>住基ネット関連で反対。
宝くじ益金を(      )に振り向ける</t>
  </si>
  <si>
    <t>調査調整費</t>
  </si>
  <si>
    <t>地域整備促進費</t>
  </si>
  <si>
    <t>同和関連含む</t>
  </si>
  <si>
    <t>有料道路事業出資金</t>
  </si>
  <si>
    <t>国が負担すべき</t>
  </si>
  <si>
    <t>障害者小規模通所援護事業補助</t>
  </si>
  <si>
    <t>本州四国連絡道路に係る有料道路事業施行のための出資金</t>
  </si>
  <si>
    <t>国ですべき事業</t>
  </si>
  <si>
    <t>50％カット</t>
  </si>
  <si>
    <t>20％カット</t>
  </si>
  <si>
    <t>２０％カット</t>
  </si>
  <si>
    <t>低所得者への利用者負担軽減事業費</t>
  </si>
  <si>
    <t>地域生活支援事業費</t>
  </si>
  <si>
    <t>盲ろう通訳介助員派遣と要訳筆記事業を昨年並みにする</t>
  </si>
  <si>
    <t>社会福祉施設費</t>
  </si>
  <si>
    <t>環境学習推進事業費</t>
  </si>
  <si>
    <t>環境整備費</t>
  </si>
  <si>
    <t>廃棄物適正処理対策費</t>
  </si>
  <si>
    <t>PCB廃棄物処理基金出捐金</t>
  </si>
  <si>
    <t>へき地医療対策費</t>
  </si>
  <si>
    <t>研修医師の県採用制度事業費</t>
  </si>
  <si>
    <t>働く若者のハンドブック（冊子）発行</t>
  </si>
  <si>
    <t>若者向けの労働法を解説する冊子の発行費用</t>
  </si>
  <si>
    <t>県防災計画室への自衛隊との人事交流(H22～23の2年間)の給与費分を削減、確認する！</t>
  </si>
  <si>
    <t>過大なので30%カット</t>
  </si>
  <si>
    <t>内容を見直し、再検討する。</t>
  </si>
  <si>
    <t>神戸山手の建設費の出資率１０％の増額を中止</t>
  </si>
  <si>
    <t>貴重な自然生態系保全・再生活動支援事業費</t>
  </si>
  <si>
    <t>イヌワシ・クマタカなど希少動植物の保護・保全施策の充実</t>
  </si>
  <si>
    <t>情報管理推進費</t>
  </si>
  <si>
    <t>電子計算管理費</t>
  </si>
  <si>
    <t>自衛隊員募集事務費</t>
  </si>
  <si>
    <t>生活総務費</t>
  </si>
  <si>
    <t>勤労者総合福祉施設整備事業特別会計へ繰出</t>
  </si>
  <si>
    <t>諸費</t>
  </si>
  <si>
    <t>淡路夢舞台国際会議場管理運営費</t>
  </si>
  <si>
    <t>国際会議等誘致事業費</t>
  </si>
  <si>
    <t>海外協力推進費</t>
  </si>
  <si>
    <t>渉外費</t>
  </si>
  <si>
    <t>先行取得用地対策費</t>
  </si>
  <si>
    <t>財産管理費</t>
  </si>
  <si>
    <t>公的個人認証サービス推進事業費</t>
  </si>
  <si>
    <t>一般財源</t>
  </si>
  <si>
    <t>起債</t>
  </si>
  <si>
    <t>特定財源</t>
  </si>
  <si>
    <t>国庫支出金</t>
  </si>
  <si>
    <t>増額・減額の理由</t>
  </si>
  <si>
    <t>財源内訳</t>
  </si>
  <si>
    <t>増減額</t>
  </si>
  <si>
    <t>予算額</t>
  </si>
  <si>
    <t>事項の内訳</t>
  </si>
  <si>
    <t>款　</t>
  </si>
  <si>
    <t>（減額の場合は△）</t>
  </si>
  <si>
    <t>単位：千円</t>
  </si>
  <si>
    <t>◎増減額一覧表</t>
  </si>
  <si>
    <t>市町連絡調整費</t>
  </si>
  <si>
    <t>市町行財政調整推進費</t>
  </si>
  <si>
    <t>住民基本台帳ネットワークシステム推進事業費</t>
  </si>
  <si>
    <t>防災総務費</t>
  </si>
  <si>
    <t>災害対策費</t>
  </si>
  <si>
    <t>小野長寿の郷構想推進費</t>
  </si>
  <si>
    <t>中小企業金融・事業相談窓口事業</t>
  </si>
  <si>
    <t>私立学校助成費</t>
  </si>
  <si>
    <t>中学校教職員費</t>
  </si>
  <si>
    <t>人権教育推進費</t>
  </si>
  <si>
    <t>人権教育推進員設置費</t>
  </si>
  <si>
    <t>歳　　入</t>
  </si>
  <si>
    <t>　　単位：千円</t>
  </si>
  <si>
    <t>款</t>
  </si>
  <si>
    <t>備   考</t>
  </si>
  <si>
    <t>分担金・負担金</t>
  </si>
  <si>
    <t>地元負担金等</t>
  </si>
  <si>
    <t>使用料・手数料</t>
  </si>
  <si>
    <t>繰入金</t>
  </si>
  <si>
    <t>県債</t>
  </si>
  <si>
    <t>合   　　計</t>
  </si>
  <si>
    <t>直轄土地改良事業費負担金</t>
  </si>
  <si>
    <t>農地防災事業費</t>
  </si>
  <si>
    <t>公共事業農地防災費</t>
  </si>
  <si>
    <t>林道費</t>
  </si>
  <si>
    <t>公共事業林道事業費</t>
  </si>
  <si>
    <t>県営森林基幹道開設事業費</t>
  </si>
  <si>
    <t>その他の事業費</t>
  </si>
  <si>
    <t>漁港建設費</t>
  </si>
  <si>
    <t>公共事業漁港改良費</t>
  </si>
  <si>
    <t>本来国が負担すべき</t>
  </si>
  <si>
    <t>合計</t>
  </si>
  <si>
    <t>目</t>
  </si>
  <si>
    <t>歳出</t>
  </si>
  <si>
    <t>財政管理費</t>
  </si>
  <si>
    <t>勤労者総合福祉施設運営基金積立金</t>
  </si>
  <si>
    <t>勤労者総合福祉施設運営基金条例に基づく積立金</t>
  </si>
  <si>
    <t>県民交流ひろば事業の財源の半分をこども医療費助成の財源の一部にあてる</t>
  </si>
  <si>
    <t>電子申請システム構築事業費</t>
  </si>
  <si>
    <t>明石海峡基金の国際会議場誘致事業費をまわす。</t>
  </si>
  <si>
    <t>「裏金疑惑」がある捜査費を減額する。</t>
  </si>
  <si>
    <t>勤労者総合福祉施設整備事業収入</t>
  </si>
  <si>
    <t>勤労者総合福祉施設整備事業支出</t>
  </si>
  <si>
    <t>管理費</t>
  </si>
  <si>
    <t>商工費</t>
  </si>
  <si>
    <t>商業振興費</t>
  </si>
  <si>
    <t>平成22年度</t>
  </si>
  <si>
    <t>県予算２２年度財源内訳</t>
  </si>
  <si>
    <t>県民交流ひろば事業の財源(2196060)の半分をこども医療費助成等の財源の一部にあてる</t>
  </si>
  <si>
    <t>08年並み（5246千円)に戻す</t>
  </si>
  <si>
    <t>宝くじ益金14124千円</t>
  </si>
  <si>
    <t>県防災計画室への自衛官の人事交流(H21～22の2年間)の給与費分を削減</t>
  </si>
  <si>
    <t>H20（４４９９７６）並み</t>
  </si>
  <si>
    <t>行革対象
一昨年(229368)並みに</t>
  </si>
  <si>
    <t>行革で廃止前にもどす</t>
  </si>
  <si>
    <t>健康科学研究センター</t>
  </si>
  <si>
    <t>健康科学研究センター職員費</t>
  </si>
  <si>
    <t>PCB廃棄物処理基金出えん金</t>
  </si>
  <si>
    <t>保健所費</t>
  </si>
  <si>
    <t>健康福祉事務所職員費</t>
  </si>
  <si>
    <t>昨年並み（４８０人）にする予算を増</t>
  </si>
  <si>
    <t>保健師等指導管理費</t>
  </si>
  <si>
    <t>看護師等確保対策費</t>
  </si>
  <si>
    <t>看護師学生等就学資金貸付金</t>
  </si>
  <si>
    <t>ひょうご仕事と生活センター事業費</t>
  </si>
  <si>
    <t>H19年（１４１８３７）並み</t>
  </si>
  <si>
    <t>兵庫楽農生活センター運営事業費</t>
  </si>
  <si>
    <t>トーホーへの指定管理50%カット</t>
  </si>
  <si>
    <t>基幹農道整備事業</t>
  </si>
  <si>
    <t>基幹農道の蔦沢菅野（宍粟市2.5億円）は反対。</t>
  </si>
  <si>
    <t>外国・外資系企業誘致促進費等</t>
  </si>
  <si>
    <t>労働費</t>
  </si>
  <si>
    <t>神戸市の中央卸売市場の一部移転の中止</t>
  </si>
  <si>
    <t>競争・序列を拡大する中高一貫教育の附属中学校の中止</t>
  </si>
  <si>
    <t>労働福祉費</t>
  </si>
  <si>
    <t>労働福祉対策費</t>
  </si>
  <si>
    <t>ゆとり創造推進事業費</t>
  </si>
  <si>
    <t>運輸事業促進費</t>
  </si>
  <si>
    <t>阪神西大阪線延伸事業関連既設線改良事業費補助</t>
  </si>
  <si>
    <t>道路橋りょう事業事務費</t>
  </si>
  <si>
    <t>道路関係事業事務に関する経費</t>
  </si>
  <si>
    <t>道路橋りょう新設改良費</t>
  </si>
  <si>
    <t>公共事業道路橋りょう新設改良費</t>
  </si>
  <si>
    <t>国庫補助を得て道路の改築等を実施する経費</t>
  </si>
  <si>
    <t>道路整備の緊急課題に対処するための改築修繕等に要する経費</t>
  </si>
  <si>
    <t>国が直轄で行う国道の改築及び維持修繕事業にかかる地方負担金</t>
  </si>
  <si>
    <t>公共事業河川総合開発事業費</t>
  </si>
  <si>
    <t>国庫補助を得てダム建設事業等を実施する経費</t>
  </si>
  <si>
    <t>大学費</t>
  </si>
  <si>
    <t>大学整備費</t>
  </si>
  <si>
    <t>大学運営費</t>
  </si>
  <si>
    <t>県単独河川総合開発事業費</t>
  </si>
  <si>
    <t>ダム建設に関連する事業等に要する経費</t>
  </si>
  <si>
    <t>国直轄河川事業負担金</t>
  </si>
  <si>
    <t>海岸保全費</t>
  </si>
  <si>
    <t>公共事業海岸改良費</t>
  </si>
  <si>
    <t>国直轄海岸事業負担金</t>
  </si>
  <si>
    <t>国が直轄で行う海岸事業にかかる地方負担金</t>
  </si>
  <si>
    <t>砂防費</t>
  </si>
  <si>
    <t>公共事業砂防施設改良費</t>
  </si>
  <si>
    <t>国直轄砂防事業負担金</t>
  </si>
  <si>
    <t>国が直轄で行う六甲山系の砂防事業にかかる地方負担金</t>
  </si>
  <si>
    <t>港湾建設費</t>
  </si>
  <si>
    <t>雇用特別対策費</t>
  </si>
  <si>
    <t>雇用開発推進費</t>
  </si>
  <si>
    <t>健康増進費</t>
  </si>
  <si>
    <t>衛生費</t>
  </si>
  <si>
    <t>◇　ムダや不要不急の公共投資を削り、「県行革」での削減分をふくめ福祉・医療や教育などへ重点配分し、</t>
  </si>
  <si>
    <t xml:space="preserve">35人学級を中学校１年生で実施する
</t>
  </si>
  <si>
    <t>小学校教職員費</t>
  </si>
  <si>
    <t>小学校教職員費</t>
  </si>
  <si>
    <t>小学校職員費</t>
  </si>
  <si>
    <t>小学校職員費</t>
  </si>
  <si>
    <t>広域連合ＫＵ、道州制への移行</t>
  </si>
  <si>
    <t>市町とともに保険料の軽減するための費用</t>
  </si>
  <si>
    <t>地域改善対策分と統合</t>
  </si>
  <si>
    <t>ひょうごＣＯ２削減推進事業費</t>
  </si>
  <si>
    <t>地球温暖化防止のための自主目標でない総量規制のルールづくりなどのため増額</t>
  </si>
  <si>
    <t>行革対象
昨年並みに復活させる</t>
  </si>
  <si>
    <t>１０年度公共事業用地先行取得事業特別会計予算組み替え</t>
  </si>
  <si>
    <t>（参考資料②）</t>
  </si>
  <si>
    <t>注：１０万単位で
　下二桁は００</t>
  </si>
  <si>
    <t>中学校職員費</t>
  </si>
  <si>
    <t>県費負担の中学校教職員にかかる給与費</t>
  </si>
  <si>
    <t>環境衛生総務費</t>
  </si>
  <si>
    <t>環境衛生事務職員費</t>
  </si>
  <si>
    <t>環境創造協会への移動をやめる(補正額164747)</t>
  </si>
  <si>
    <t xml:space="preserve">５０％カット
</t>
  </si>
  <si>
    <t>高校分を９９年並にもどす</t>
  </si>
  <si>
    <t>廃止されたので復活</t>
  </si>
  <si>
    <t>2次救急への県補助制度</t>
  </si>
  <si>
    <t>公正採用の７５万円</t>
  </si>
  <si>
    <t>神戸空港利用推進協議会、関西国際空港全体構想推進協議会など</t>
  </si>
  <si>
    <t>放射光施設、港湾、但馬空港の利用料、加古川神野用地など</t>
  </si>
  <si>
    <t>雇用開発推進費</t>
  </si>
  <si>
    <t>雇用特別対策費</t>
  </si>
  <si>
    <t>公共事業港湾改良費</t>
  </si>
  <si>
    <t>県単独港湾改良費</t>
  </si>
  <si>
    <t>港湾改良事業に要する経費</t>
  </si>
  <si>
    <t>国が直轄で行う尼崎西宮芦屋港等改修事業にかかる地方負担金</t>
  </si>
  <si>
    <t>空港整備費</t>
  </si>
  <si>
    <t>神戸空港推進費</t>
  </si>
  <si>
    <t>関西国際空港対策費等</t>
  </si>
  <si>
    <t>空港管理費</t>
  </si>
  <si>
    <t>関西国際空港株式会社出資及び貸付金</t>
  </si>
  <si>
    <t>神戸空港整備事業費補助金</t>
  </si>
  <si>
    <t>都市計画総務費</t>
  </si>
  <si>
    <t>緊急街路整備事業費</t>
  </si>
  <si>
    <t>国の交付金を得て、都市計画道路の改築事業を実施する経費</t>
  </si>
  <si>
    <t>公園費</t>
  </si>
  <si>
    <t>公共事業公園整備費</t>
  </si>
  <si>
    <t>県単独公園整備費</t>
  </si>
  <si>
    <t>県立都市公園の整備に要する経費</t>
  </si>
  <si>
    <t>国直轄公園事業負担金</t>
  </si>
  <si>
    <t>国営明石海峡公園国直轄事業にかかる地方負担金</t>
  </si>
  <si>
    <t>淡路花博記念事業協会の運営に要する経費</t>
  </si>
  <si>
    <t>尼崎の森スポーツ健康増進施設費</t>
  </si>
  <si>
    <t>土地区画整理事業費</t>
  </si>
  <si>
    <t>都市再開発事業推進費</t>
  </si>
  <si>
    <t>市街地整備事業助成費</t>
  </si>
  <si>
    <t>土木費</t>
  </si>
  <si>
    <t>負担金・分担金</t>
  </si>
  <si>
    <t>使用料手数料</t>
  </si>
  <si>
    <t>寄付金</t>
  </si>
  <si>
    <t>諸収入</t>
  </si>
  <si>
    <t>行革対象
県補助の増額</t>
  </si>
  <si>
    <t>５０％カット</t>
  </si>
  <si>
    <t>３５％カット</t>
  </si>
  <si>
    <t>六甲グリーンベルト△335000千円＋35％カット</t>
  </si>
  <si>
    <t>私立高等学校生徒授業料軽減補助</t>
  </si>
  <si>
    <t>行革で低所得に重点化されたので、改悪された階層をもとに戻す</t>
  </si>
  <si>
    <t>六甲グリーンベルト３３５０００千円をのぞいた財源内訳</t>
  </si>
  <si>
    <t>行革対象
増額</t>
  </si>
  <si>
    <t>県民合意ない</t>
  </si>
  <si>
    <t>行革対象、昨年並みにする</t>
  </si>
  <si>
    <t>保険料軽減補助制度の創設</t>
  </si>
  <si>
    <t>目</t>
  </si>
  <si>
    <t>５０%カット</t>
  </si>
  <si>
    <t>民生費</t>
  </si>
  <si>
    <t>社会福祉対策費</t>
  </si>
  <si>
    <t>老人福祉費</t>
  </si>
  <si>
    <t>衛生費</t>
  </si>
  <si>
    <t>雇用開発推進費</t>
  </si>
  <si>
    <t>雇用特別対策費</t>
  </si>
  <si>
    <t>３０％カット</t>
  </si>
  <si>
    <t>50％カット</t>
  </si>
  <si>
    <t>40%カット</t>
  </si>
  <si>
    <t>５０％カット</t>
  </si>
  <si>
    <t>道路橋りょう管理費</t>
  </si>
  <si>
    <t>３５％カット</t>
  </si>
  <si>
    <t>５０％カット</t>
  </si>
  <si>
    <t xml:space="preserve">５０％カット
</t>
  </si>
  <si>
    <t>３５％カット</t>
  </si>
  <si>
    <t>３５％カット</t>
  </si>
  <si>
    <t>３５％カット</t>
  </si>
  <si>
    <t>35％カット</t>
  </si>
  <si>
    <t>2０%カット</t>
  </si>
  <si>
    <t>35％カット</t>
  </si>
  <si>
    <t>35％カット</t>
  </si>
  <si>
    <t>35%カット</t>
  </si>
  <si>
    <t>50％カット</t>
  </si>
  <si>
    <t>50％カット</t>
  </si>
  <si>
    <t>35%カット</t>
  </si>
  <si>
    <t>35%カット</t>
  </si>
  <si>
    <t>財源：宝くじ益金</t>
  </si>
  <si>
    <t>県民合意ない</t>
  </si>
  <si>
    <t>大学費</t>
  </si>
  <si>
    <t>５０％カット</t>
  </si>
  <si>
    <t>住宅政策推進費</t>
  </si>
  <si>
    <t>民生費</t>
  </si>
  <si>
    <t>社会福祉対策費</t>
  </si>
  <si>
    <t>衛生費</t>
  </si>
  <si>
    <t>健康増進費</t>
  </si>
  <si>
    <t>２兆１，２８５億円　</t>
  </si>
  <si>
    <t>８，７１８億円　</t>
  </si>
  <si>
    <t xml:space="preserve">３兆１，７０３億円 </t>
  </si>
  <si>
    <t>△４４８億円　</t>
  </si>
  <si>
    <t>△５７億円　</t>
  </si>
  <si>
    <t>△５０５億円　</t>
  </si>
  <si>
    <t xml:space="preserve">△５７０億円 </t>
  </si>
  <si>
    <t xml:space="preserve">△５７億円 </t>
  </si>
  <si>
    <t xml:space="preserve">△６２７億円 </t>
  </si>
  <si>
    <t>１２２億円</t>
  </si>
  <si>
    <t>２兆８３７億円　</t>
  </si>
  <si>
    <t>８，６６１億円　</t>
  </si>
  <si>
    <t>３兆１，１９８億円　</t>
  </si>
  <si>
    <t>１，７００億円　</t>
  </si>
  <si>
    <t>１，７００億円　</t>
  </si>
  <si>
    <t>昨年から減額されているので、増額する。：宝くじ益金</t>
  </si>
  <si>
    <t>紀淡連絡道などの協議会費用が含まれた分担金などがあり、３５％カット</t>
  </si>
  <si>
    <t>直</t>
  </si>
  <si>
    <t>直轄事業の削減の合計</t>
  </si>
  <si>
    <t>宝くじ益金4655千円</t>
  </si>
  <si>
    <t>新行革プラン前（０８年並）
６４９１５４０</t>
  </si>
  <si>
    <t>増額（国庫４分の３）</t>
  </si>
  <si>
    <t>人数を増やすため増額
５人増やす予算。</t>
  </si>
  <si>
    <t>目</t>
  </si>
  <si>
    <t>県債</t>
  </si>
  <si>
    <t>公共事業用地先行取得事業費</t>
  </si>
  <si>
    <t>１１年度公共事業用地先行取得事業特別会計予算組み替え</t>
  </si>
  <si>
    <t>１１年度兵庫県勤労者総合福祉施設整備事業特別会計</t>
  </si>
  <si>
    <t>１１年度公債費特別会計</t>
  </si>
  <si>
    <t>新行革プラン前にもどす
239000</t>
  </si>
  <si>
    <t>行革対象
国基準との差額分の市町負担なくす</t>
  </si>
  <si>
    <t>原油高騰対策としての中小企業つなぎ融資制度</t>
  </si>
  <si>
    <t>中小企業の原油高騰対策での資金繰り・つなぎ融資制度の創設</t>
  </si>
  <si>
    <t>行革で削減
昨年並みに増額する</t>
  </si>
  <si>
    <t>高速自動車道建設促進費</t>
  </si>
  <si>
    <t>国負担とすべきもの</t>
  </si>
  <si>
    <t>総務費</t>
  </si>
  <si>
    <t>総合計</t>
  </si>
  <si>
    <t>雇用特別対策費</t>
  </si>
  <si>
    <t>雇用開発推進費</t>
  </si>
  <si>
    <t>土木総務費</t>
  </si>
  <si>
    <t>道路橋りょう管理費</t>
  </si>
  <si>
    <t>教育活動費</t>
  </si>
  <si>
    <t>５０%カット</t>
  </si>
  <si>
    <t>小規模事業対策費</t>
  </si>
  <si>
    <t>放射光利用促進費</t>
  </si>
  <si>
    <t>社会教育施設費</t>
  </si>
  <si>
    <t>ネットミュージアム兵庫文学館運営費</t>
  </si>
  <si>
    <t>宣伝費など過大すぎるので５割カット</t>
  </si>
  <si>
    <t>障害者福祉費</t>
  </si>
  <si>
    <t>企画総務費</t>
  </si>
  <si>
    <t>行政改善推進費</t>
  </si>
  <si>
    <t>行財政構造改革推進費</t>
  </si>
  <si>
    <t>行政改善指導費等</t>
  </si>
  <si>
    <t>土木総務費</t>
  </si>
  <si>
    <t>50％カット</t>
  </si>
  <si>
    <t>20％カット</t>
  </si>
  <si>
    <t>５０%カット</t>
  </si>
  <si>
    <t>国直轄港湾事業負担金</t>
  </si>
  <si>
    <t>警察本部費</t>
  </si>
  <si>
    <t>警察管理費</t>
  </si>
  <si>
    <t>職員報償費</t>
  </si>
  <si>
    <t>刑事警察費</t>
  </si>
  <si>
    <t>刑事保安警察活動費</t>
  </si>
  <si>
    <t>捜査費</t>
  </si>
  <si>
    <t>小計</t>
  </si>
  <si>
    <t>人権ネットワーク事業費</t>
  </si>
  <si>
    <t>隣保館施設整備費補助</t>
  </si>
  <si>
    <t>農林水産費</t>
  </si>
  <si>
    <t>５０％カット</t>
  </si>
  <si>
    <t>緊急道路整備事業費</t>
  </si>
  <si>
    <t>県単独道路橋りょう新設改良費</t>
  </si>
  <si>
    <t>道路、橋りょうの新設等に要する経費</t>
  </si>
  <si>
    <t>国直轄道路事業負担金</t>
  </si>
  <si>
    <t>県単独街路整備費</t>
  </si>
  <si>
    <t>都市計画道路事業に要する経費</t>
  </si>
  <si>
    <t>淡路花博記念事業協会運営費補助</t>
  </si>
  <si>
    <t>教育費</t>
  </si>
  <si>
    <t>警察費</t>
  </si>
  <si>
    <t>阪神三宮駅都市鉄道利便増進事業補助</t>
  </si>
  <si>
    <t>総合的情報通信ネットワーク推進事業費</t>
  </si>
  <si>
    <t>医務費</t>
  </si>
  <si>
    <t>救急病院等普及育成費</t>
  </si>
  <si>
    <t>減</t>
  </si>
  <si>
    <t>都市計画費</t>
  </si>
  <si>
    <t>教育連絡調整費</t>
  </si>
  <si>
    <t>社会教育総務費</t>
  </si>
  <si>
    <t>増</t>
  </si>
  <si>
    <t>医療費補助</t>
  </si>
  <si>
    <t>救急搬送コーディネーターを配置</t>
  </si>
  <si>
    <t>柔軟な制度に見直して、４泊５日以下に短縮して、３割を削減。</t>
  </si>
  <si>
    <t>国負担ですべきもの</t>
  </si>
  <si>
    <t>特別障害者手当等支給費</t>
  </si>
  <si>
    <t>老人福祉対策費</t>
  </si>
  <si>
    <t>被災高齢者自立生活支援事業費補助</t>
  </si>
  <si>
    <t>公共事業用地先行取得事業収入</t>
  </si>
  <si>
    <t>一般会計繰入金</t>
  </si>
  <si>
    <t>事項</t>
  </si>
  <si>
    <t>歳入</t>
  </si>
  <si>
    <t>公共事業用地先行取得事業支出</t>
  </si>
  <si>
    <t>民生費</t>
  </si>
  <si>
    <t>社会福祉対策費</t>
  </si>
  <si>
    <t>老人福祉費</t>
  </si>
  <si>
    <t>在宅老人介護手当支給事業費補助</t>
  </si>
  <si>
    <t>新</t>
  </si>
  <si>
    <t>小野長寿の郷構想推進費</t>
  </si>
  <si>
    <t>公共事業用地先行取得事業特別会計へ繰出</t>
  </si>
  <si>
    <t>平成20年度</t>
  </si>
  <si>
    <t>カットの計算</t>
  </si>
  <si>
    <t>関西広域機構分担金</t>
  </si>
  <si>
    <t>生活科学化推進費</t>
  </si>
  <si>
    <t>生活科学総合センター運営費</t>
  </si>
  <si>
    <t>文化振興費</t>
  </si>
  <si>
    <t>県民会館等運営費</t>
  </si>
  <si>
    <t>県民小劇場運営費</t>
  </si>
  <si>
    <t>行革対象
昨年並みに</t>
  </si>
  <si>
    <t>人権啓発推進費</t>
  </si>
  <si>
    <t>隣保館活動促進費</t>
  </si>
  <si>
    <t>社会福祉施設運営助成費</t>
  </si>
  <si>
    <t>民間社会福祉施設利用者処遇向上交付金</t>
  </si>
  <si>
    <t>３つの事業を昨年並みの予算で</t>
  </si>
  <si>
    <t>私立学校経常費補助</t>
  </si>
  <si>
    <t>新行革プラン前の０８年並みの生徒一人あたり単価に増額。</t>
  </si>
  <si>
    <t>新行革対象で対象外にされた人をもどすために増額。</t>
  </si>
  <si>
    <t>報酬の見直しで減額</t>
  </si>
  <si>
    <t>国民健康保険連絡調整費</t>
  </si>
  <si>
    <t>商工会・商工会議所だけを通じた小規模対策事業を見直す。</t>
  </si>
  <si>
    <t>低所得者の施設利用料等応益負担をゼロに　昨年と同額</t>
  </si>
  <si>
    <t>障害者福祉対策費</t>
  </si>
  <si>
    <t>重症心身障害児指導費交付金</t>
  </si>
  <si>
    <t>医療費を無料にもどし、さらに内部障害３級と精神障害者一部負担なし</t>
  </si>
  <si>
    <t>健やかな老後をめざす事業推進費</t>
  </si>
  <si>
    <t>後期高齢者医療事業費</t>
  </si>
  <si>
    <t>遺家族等援護費</t>
  </si>
  <si>
    <t>同和合計(奨学金のぞく）</t>
  </si>
  <si>
    <t>農作物対策費</t>
  </si>
  <si>
    <t>米消費拡大対策事業費</t>
  </si>
  <si>
    <t>ごはん給食推進事業費</t>
  </si>
  <si>
    <t>廃止されたので復活。昨年並み</t>
  </si>
  <si>
    <t>中国残留邦人支援事業費</t>
  </si>
  <si>
    <t>引原ダムにおけるカヌーによる地域づくり事業</t>
  </si>
  <si>
    <t>家庭児童対策費</t>
  </si>
  <si>
    <t>ひょうご放課後プラン「児童クラブ型」事業費補助</t>
  </si>
  <si>
    <t>労政総務費</t>
  </si>
  <si>
    <t>35人学級を小学校５年生で実施する
188学級×４００万円</t>
  </si>
  <si>
    <t>阪神地域多部制高等学校整備516190千円を減額し、耐震化促進のために１億円増額。</t>
  </si>
  <si>
    <t>奨学資金返還金収納促進専門員設置費</t>
  </si>
  <si>
    <t>金出地、与布土、西紀ダムの中止・凍結</t>
  </si>
  <si>
    <t>学びの充実促進事業費</t>
  </si>
  <si>
    <t>行革前(340356)にもどす</t>
  </si>
  <si>
    <t>バス介助員、民間委託をやめて、５台１０人分（１０人、月額14.3万円）を増額。</t>
  </si>
  <si>
    <t>県単独事業を昨年並みの予算にもどし拡充する。</t>
  </si>
  <si>
    <t>35％カット
六甲グリーンベルト△５７２０００千円を含む</t>
  </si>
  <si>
    <t>国負担とすべきもの
六甲グリーンベルト△497500千円含む</t>
  </si>
  <si>
    <t>県民交流広場事業を見直す</t>
  </si>
  <si>
    <t>１０年度兵庫県勤労者総合福祉施設整備事業特別会計</t>
  </si>
  <si>
    <t>１０年度公債費特別会計</t>
  </si>
  <si>
    <t>神戸山手の建設費の出資率１０％の増額(25⇒35)を中止</t>
  </si>
  <si>
    <t>中３まで対無料、所得制限なし
入院給食も無料にする</t>
  </si>
  <si>
    <t>視聴覚障害者情報提供施設運営費</t>
  </si>
  <si>
    <t>聴覚障害者情報センター委託費</t>
  </si>
  <si>
    <t>母子保健指導費</t>
  </si>
  <si>
    <t>保険指導費</t>
  </si>
  <si>
    <t>妊婦健康診査費補助事業費</t>
  </si>
  <si>
    <t>ひょうご環境体験館（仮称）運営事業費</t>
  </si>
  <si>
    <t>旧エコハウスに反対</t>
  </si>
  <si>
    <t>大気汚染対策費</t>
  </si>
  <si>
    <t>救急医療強化対策費</t>
  </si>
  <si>
    <t>2次救急への県補助制度の創設</t>
  </si>
  <si>
    <t>但馬路線運航対策費補助等</t>
  </si>
  <si>
    <t>１１年の増額・減額から外したもの。</t>
  </si>
  <si>
    <t>救命救急センター運営費補助</t>
  </si>
  <si>
    <t>兵庫医大補助が１億３４００万円から１億９００万円に減額。もとにもどす</t>
  </si>
  <si>
    <t>周産期医療対策強化事業</t>
  </si>
  <si>
    <t>ひょうご仕事と生活のバランス推進事業費</t>
  </si>
  <si>
    <t>経営者団体と推進するもの。</t>
  </si>
  <si>
    <t>３０％カット</t>
  </si>
  <si>
    <t>３０％カット
農村総合整備事業の浜坂のケーブル事業は反対</t>
  </si>
  <si>
    <t>30％カット</t>
  </si>
  <si>
    <t>30%減</t>
  </si>
  <si>
    <t>復活</t>
  </si>
  <si>
    <t>新名神高速道路宝塚SA・スマートIC設置検討調査費</t>
  </si>
  <si>
    <t>新名神高速道路用地事務費</t>
  </si>
  <si>
    <t>必要のない高規格道路</t>
  </si>
  <si>
    <t>地方バス路線運行維持対策費</t>
  </si>
  <si>
    <t>バス対策費補助</t>
  </si>
  <si>
    <t>35％カット</t>
  </si>
  <si>
    <t>但東ダム管理費を含めて３５％カット</t>
  </si>
  <si>
    <t>河川管理費</t>
  </si>
  <si>
    <t>河川改良費</t>
  </si>
  <si>
    <t>３５％カット</t>
  </si>
  <si>
    <t>但馬空港利活用促進費</t>
  </si>
  <si>
    <t>但馬空港RNAV航法導入調査費</t>
  </si>
  <si>
    <t>空港公園維持修繕費</t>
  </si>
  <si>
    <t>35%カット</t>
  </si>
  <si>
    <t>50％カット</t>
  </si>
  <si>
    <t>まちづくり政策推進費</t>
  </si>
  <si>
    <t>加古川神野用地管理業務</t>
  </si>
  <si>
    <t>一般警察活動費</t>
  </si>
  <si>
    <t>環境行政総合調整費</t>
  </si>
  <si>
    <t>まちなか太陽光発電促進事業（仮称）</t>
  </si>
  <si>
    <t>太陽光発電施設の民間住宅への設置促進のための補助。
地域の工務店や電気店が携わり、民間リフォーム助成と連携して活用できる制度を創設。
財源：宝くじ益金</t>
  </si>
  <si>
    <t>バス介助員</t>
  </si>
  <si>
    <t>バス介助員の新規５台分の民間委託をやめる</t>
  </si>
  <si>
    <t>21年増減額</t>
  </si>
  <si>
    <t>22年増減額</t>
  </si>
  <si>
    <t>平成23年度</t>
  </si>
  <si>
    <t>２２年財源内訳</t>
  </si>
  <si>
    <t>23年増減額</t>
  </si>
  <si>
    <t>２２年度理由</t>
  </si>
  <si>
    <t>23年度理由</t>
  </si>
  <si>
    <t>県民交流ひろば事業の財源(1490131)の半分をこども医療費助成等の財源の一部にあてる</t>
  </si>
  <si>
    <t>関西広域連合分担金</t>
  </si>
  <si>
    <t>兵庫情報ハイウェイ保守運用及び次期情報ハイウェイ推進事業費</t>
  </si>
  <si>
    <t>県単独事業を2010年並み(12144143)の予算にもどし拡充する。</t>
  </si>
  <si>
    <t>行革対象
09年(229368)並みに</t>
  </si>
  <si>
    <t>旧制度なみに</t>
  </si>
  <si>
    <t>PCB廃棄物処理基金補助</t>
  </si>
  <si>
    <t>09年並み（４８０人）にする予算を増</t>
  </si>
  <si>
    <t>商工団体支援事業費</t>
  </si>
  <si>
    <t>廃事項</t>
  </si>
  <si>
    <t>35％カット
六甲グリーンベルト△670000千円を含む</t>
  </si>
  <si>
    <t>国負担とすべきもの
六甲グリーンベルト△630000千円含む</t>
  </si>
  <si>
    <t>国庫補助を得て尼崎の森中央緑地外7県立都市公園の整備等を実施する経費</t>
  </si>
  <si>
    <t>09年並み</t>
  </si>
  <si>
    <t>千町・段ヶ峰線１１７１６０千円を含め50％カット</t>
  </si>
  <si>
    <t>中国残留邦人支援給付金事業費</t>
  </si>
  <si>
    <t>コミュニティーバスなど行革対象なので増額</t>
  </si>
  <si>
    <t>行革対象、効果額１５９８７千円を回復。</t>
  </si>
  <si>
    <t>35人学級を小学校５、６年生で実施する
３６９学級×４００万円</t>
  </si>
  <si>
    <t>県民交流ひろば事業の財源の半分をこども医療費助成等の財源の一部にあてる</t>
  </si>
  <si>
    <t>交番相談員制度実施費</t>
  </si>
  <si>
    <t>行革対象、昨年並み</t>
  </si>
  <si>
    <t>教育委員会事務局費</t>
  </si>
  <si>
    <t>教育行政企画費</t>
  </si>
  <si>
    <t>兵庫県教育振興基本計画（仮称）検討委員会設置費</t>
  </si>
  <si>
    <t>「県立高等学校教育改革第二次実施計画」の広報・周知実施費</t>
  </si>
  <si>
    <t>ひょうご学力向上推進プロジェクト事業費</t>
  </si>
  <si>
    <t>スクールアシスタント配置事業</t>
  </si>
  <si>
    <t>学力向上実践推進事業費</t>
  </si>
  <si>
    <t>阪神地域多部制単位制高等学校設置にかかる調査・検討費</t>
  </si>
  <si>
    <t>総合計</t>
  </si>
  <si>
    <t>人権教育指導者研修等実施費</t>
  </si>
  <si>
    <t>奨学資金返還金収納促進専門員設置費等</t>
  </si>
  <si>
    <t>地域に学ぶ人権学習資料集開発事業費等</t>
  </si>
  <si>
    <t>人権感覚をはぐぐむ指導方法研究事業費</t>
  </si>
  <si>
    <t>体育振興費</t>
  </si>
  <si>
    <t>健康増進施設維持運営費</t>
  </si>
  <si>
    <t>昆虫館</t>
  </si>
  <si>
    <t>昆虫館への支援継続</t>
  </si>
  <si>
    <t>海外視察を友好都市の公式行事のみにするなど簡素化して減額。
来年度予定はブラジルと中国。</t>
  </si>
  <si>
    <t>教育功労者表彰費</t>
  </si>
  <si>
    <t>必要ない</t>
  </si>
  <si>
    <t>こころ豊かな人づくり推進費</t>
  </si>
  <si>
    <t>自然学校推進事業費</t>
  </si>
  <si>
    <t>高等学校建設費</t>
  </si>
  <si>
    <t>高等学校整備費</t>
  </si>
  <si>
    <t>校舎等の耐震化に要する経費</t>
  </si>
  <si>
    <t>教職員研修推進費</t>
  </si>
  <si>
    <t>１０年経験者研修実施費</t>
  </si>
  <si>
    <t>労働総務費</t>
  </si>
  <si>
    <t>労使調整費</t>
  </si>
  <si>
    <t>労使団体等との連携強化費等</t>
  </si>
  <si>
    <t>公正採用・人権啓発推進事業費等</t>
  </si>
  <si>
    <t>街路等活力基盤整備事業費</t>
  </si>
  <si>
    <t>総務費、民生費、農林水産費、土木費、警察費、教育費</t>
  </si>
  <si>
    <t>港湾事業事務費</t>
  </si>
  <si>
    <t>港湾関連の協議会や社団法人の分担金を見直す</t>
  </si>
  <si>
    <t>公正採用の７５万円と雇用政策懇話会の３５万円を削減</t>
  </si>
  <si>
    <t>◎減額一覧表</t>
  </si>
  <si>
    <t>海外視察を友好都市の公式行事のみにするなど簡素化して減額。</t>
  </si>
  <si>
    <t>公共事業用地費</t>
  </si>
  <si>
    <t>公共事業用地先行取得事業債</t>
  </si>
  <si>
    <t>公債費</t>
  </si>
  <si>
    <t>公債費特別会計へ繰り出し</t>
  </si>
  <si>
    <t>公共事業用地先行取得事業費</t>
  </si>
  <si>
    <t>◎増額一覧表</t>
  </si>
  <si>
    <t>寄附金</t>
  </si>
  <si>
    <t>先行取得用地取得資金の利子補給に要する経費</t>
  </si>
  <si>
    <t>勤労者総合福祉施設整備事業特別会計への繰り出しに要する経費</t>
  </si>
  <si>
    <t>空港利用促進費</t>
  </si>
  <si>
    <t>国庫補助を得て三木総合防災公園外５県立都市公園の整備を実施する経費</t>
  </si>
  <si>
    <t>スポーツ健康増進施設（尼崎の森中央緑地）整備・運営事業に要する経費</t>
  </si>
  <si>
    <t>土地区画整理事業の施行者等に対し、街路事業を用地買収方式で施行した場合に必要となる県費相当額を負担する経費</t>
  </si>
  <si>
    <t>住宅政策推進費</t>
  </si>
  <si>
    <t>人権教育推進関係団体育成事業費</t>
  </si>
  <si>
    <t>予算組み替え修正動議について</t>
  </si>
  <si>
    <t>日本共産党兵庫県会議員団</t>
  </si>
  <si>
    <t>一般会計予算</t>
  </si>
  <si>
    <t>項目</t>
  </si>
  <si>
    <t>額</t>
  </si>
  <si>
    <t>県　　債</t>
  </si>
  <si>
    <t>歳出の減額</t>
  </si>
  <si>
    <t>生み出された一般財源</t>
  </si>
  <si>
    <t>県債の削減額</t>
  </si>
  <si>
    <t>歳出の増額</t>
  </si>
  <si>
    <t>必要となる一般財源</t>
  </si>
  <si>
    <t>県債の発行額</t>
  </si>
  <si>
    <t>差し引き</t>
  </si>
  <si>
    <t>増減額</t>
  </si>
  <si>
    <t>特別会計予算</t>
  </si>
  <si>
    <t>生み出された財源</t>
  </si>
  <si>
    <t>必要となる財源</t>
  </si>
  <si>
    <t>全体の会計規模</t>
  </si>
  <si>
    <t>区分</t>
  </si>
  <si>
    <t>予算額</t>
  </si>
  <si>
    <t>増減合計</t>
  </si>
  <si>
    <t>編成替え後の</t>
  </si>
  <si>
    <t>減額の計</t>
  </si>
  <si>
    <t>増額の計</t>
  </si>
  <si>
    <t>予算規模</t>
  </si>
  <si>
    <t>一般会計</t>
  </si>
  <si>
    <t>特別会計</t>
  </si>
  <si>
    <t>０円　</t>
  </si>
  <si>
    <t>企業会計</t>
  </si>
  <si>
    <t>０円　</t>
  </si>
  <si>
    <t>合　　計</t>
  </si>
  <si>
    <t>　   あわせて借金を大幅に減らし、健全な財政運営をおこなうため新年度予算の組み替えを求める。</t>
  </si>
  <si>
    <t>報償費のなかの「捜査費」（９２００万円）の減額。</t>
  </si>
  <si>
    <t>明石海峡基金の国際会議場運営費をまわす</t>
  </si>
  <si>
    <t>宝くじ益金△１８４４０</t>
  </si>
  <si>
    <t>「1校区１クラブ」の改悪はなくしたが、開設日数加算はなくしたままなので、影響額の５千万円を増額。</t>
  </si>
  <si>
    <t>兵庫医大へ。０５年並みに戻す</t>
  </si>
  <si>
    <t>検算</t>
  </si>
  <si>
    <t>全面的に見直す</t>
  </si>
  <si>
    <t>道徳教育副読本作成・配布費</t>
  </si>
  <si>
    <t>地域振興基金繰入金</t>
  </si>
  <si>
    <t>◇　組み替え項目は別紙の通り</t>
  </si>
  <si>
    <t>国が直轄で行う河川改修、修繕、管理等の事業にかかる地方負担金</t>
  </si>
  <si>
    <t>国庫補助を得て砂防、地すべり、急傾斜地崩壊対策事業等に要する経費</t>
  </si>
  <si>
    <t>国庫補助を得て港湾の改修、高潮対策、港湾環境整備及び港湾局部改良事業等を実施する経費</t>
  </si>
  <si>
    <t>都市整備費</t>
  </si>
  <si>
    <t>組合等が施行する市街地再開発事業等に対する補助に要する経費</t>
  </si>
  <si>
    <t>建築指導監督費</t>
  </si>
  <si>
    <t>民間住宅リフォーム助成制度</t>
  </si>
  <si>
    <t>予備費</t>
  </si>
  <si>
    <t>公共事業街路事業費</t>
  </si>
  <si>
    <t>環境保全対策費</t>
  </si>
  <si>
    <t>私学振興費</t>
  </si>
  <si>
    <t>私立学校施設耐震化補助</t>
  </si>
  <si>
    <t>０４年度一般会計予算組み替え（参考資料①）</t>
  </si>
  <si>
    <t>（減額の場合は△）</t>
  </si>
  <si>
    <t>児童福祉対策費</t>
  </si>
  <si>
    <t>財産収入</t>
  </si>
  <si>
    <t>特別会計繰入金等</t>
  </si>
  <si>
    <t>諸収入</t>
  </si>
  <si>
    <t>土木費受託事業収入等</t>
  </si>
  <si>
    <t>目</t>
  </si>
  <si>
    <t>節</t>
  </si>
  <si>
    <t>内訳</t>
  </si>
  <si>
    <t>県債</t>
  </si>
  <si>
    <t>介護手当費補助</t>
  </si>
  <si>
    <t>世界企業トップマネージメントセミナー開催事業費</t>
  </si>
  <si>
    <t>外国・外資系企業ネットワーク構築費</t>
  </si>
  <si>
    <t>住基ネット関連</t>
  </si>
  <si>
    <t>勤労者福祉基金積立金</t>
  </si>
  <si>
    <t>勤労者福祉基金条例に基づく積立金</t>
  </si>
  <si>
    <t>先行取得用地取得資金利子等の補助に関する経費</t>
  </si>
  <si>
    <t>国民健康保険強化充実費</t>
  </si>
  <si>
    <t>母子福祉費</t>
  </si>
  <si>
    <t>委員等報酬</t>
  </si>
  <si>
    <t>但馬路線運航対策費</t>
  </si>
  <si>
    <t>但馬路線運航対策費</t>
  </si>
  <si>
    <t>但馬路線運航対策費事業費補助</t>
  </si>
  <si>
    <t>但馬ー羽田直行便推進事業費</t>
  </si>
  <si>
    <t>阪神高速道路の建設事業に対する出資金</t>
  </si>
  <si>
    <t>建築防災等対策推進費</t>
  </si>
  <si>
    <t>阪神地域多部制高等学校整備43145千円を減額</t>
  </si>
  <si>
    <t>国際防災・人道支援拠点展開推進費</t>
  </si>
  <si>
    <t>2０%カット</t>
  </si>
  <si>
    <t>PCB処理は必要だが、処理費用の発生者責任が軽く、処理技術に問題があり、削減。</t>
  </si>
  <si>
    <t>応募実績がすくなく、採用予定人数２５人→１０人。人数を増やすため増額
５人増やす予算は、２２７３０千円</t>
  </si>
  <si>
    <t>補助対象を1校区１クラブに限定し、開設日数加算をなくして、昨年から１．２億円削減。</t>
  </si>
  <si>
    <t>５０％カット
余部道路４０億円、東播磨南北道路３８．６億円、川西インター線３．４億円など、不要不急の道路を削減。</t>
  </si>
  <si>
    <t>道路橋りょう管理費</t>
  </si>
  <si>
    <t>関西国際空港株式会社出資金</t>
  </si>
  <si>
    <t>農地調整費</t>
  </si>
  <si>
    <t>農地保有合理化促進費</t>
  </si>
  <si>
    <t>土地改良費</t>
  </si>
  <si>
    <t>広報費</t>
  </si>
  <si>
    <t>県広報活動費</t>
  </si>
  <si>
    <t>公共事業用地先行取得事業特別会計繰入金の減</t>
  </si>
  <si>
    <t>県予算２１年度財源内訳</t>
  </si>
  <si>
    <t>35％カット
六甲グリーンベルト△625000千円を含む</t>
  </si>
  <si>
    <t>新行革前にもどす</t>
  </si>
  <si>
    <t>LSA配置促進事業費</t>
  </si>
  <si>
    <t>23年増額</t>
  </si>
  <si>
    <t>23年減額</t>
  </si>
  <si>
    <r>
      <t>１１年度一般会計予算組み替え　　　</t>
    </r>
    <r>
      <rPr>
        <sz val="14"/>
        <rFont val="ＭＳ Ｐゴシック"/>
        <family val="3"/>
      </rPr>
      <t>（参考資料①）</t>
    </r>
  </si>
  <si>
    <t xml:space="preserve">  ◎組み替え予算のフレーム</t>
  </si>
  <si>
    <t>第二次県行革前にもどす
効果額１．４億円分増額</t>
  </si>
  <si>
    <t>整理し、県民にとってわかりやすい広報にあらためるため２割カット</t>
  </si>
  <si>
    <t>電子計算組織運営費等</t>
  </si>
  <si>
    <t>住基ネット関連で反対</t>
  </si>
  <si>
    <t>地域情報化推進費</t>
  </si>
  <si>
    <t>兵庫情報ハイウェイ保守運用費</t>
  </si>
  <si>
    <t>国民保護計画推進費</t>
  </si>
  <si>
    <t>国際防災・人道支援拠点形成展開推進費</t>
  </si>
  <si>
    <t>震災復興総合調整費</t>
  </si>
  <si>
    <t>兵庫県住宅再建共済制度実施事業費</t>
  </si>
  <si>
    <t>農業振興費</t>
  </si>
  <si>
    <t>楽農生活推進費</t>
  </si>
  <si>
    <t>兵庫楽農生活センター維持運営費</t>
  </si>
  <si>
    <t>流通近代化推進費</t>
  </si>
  <si>
    <t>卸売市場施設整備事業費</t>
  </si>
  <si>
    <t>新事業・雇用創出型産業集積促進補助事業費</t>
  </si>
  <si>
    <t>ひょうご・神戸投資サポートセンター事業費</t>
  </si>
  <si>
    <t>設備投資と雇用補助を削減</t>
  </si>
  <si>
    <t>人生８０年いきいき住宅推進費</t>
  </si>
  <si>
    <t>一般奨学金と統合させ廃止する</t>
  </si>
  <si>
    <t>公共事業土地改良費</t>
  </si>
  <si>
    <t>ひょうご県産材活用推進費</t>
  </si>
  <si>
    <t>尼崎２１世紀の森推進費</t>
  </si>
  <si>
    <t>教育活動費</t>
  </si>
  <si>
    <t>減</t>
  </si>
  <si>
    <t>高等学校奨学資金貸与事業費</t>
  </si>
  <si>
    <t>総合行政ネットワーク運用管理事業費</t>
  </si>
  <si>
    <t>住基ネット関連で反対。宝くじ益金を別事業に振り向ける</t>
  </si>
  <si>
    <t>宝くじ益金を別事業に振り向ける</t>
  </si>
  <si>
    <t>不急の事業</t>
  </si>
  <si>
    <t>調査検討費</t>
  </si>
  <si>
    <t>新</t>
  </si>
  <si>
    <t>増額</t>
  </si>
  <si>
    <t>自然環境保全対策費</t>
  </si>
  <si>
    <t>国庫補助を得て海岸の侵食対策、局部改良、海岸環境整備等を実施する経費</t>
  </si>
  <si>
    <t>備考</t>
  </si>
  <si>
    <t>林業振興費</t>
  </si>
  <si>
    <t>林業施策総合推進費</t>
  </si>
  <si>
    <t>林業振興の抜本的な対策を検討する費用。</t>
  </si>
  <si>
    <t>高等学校奨学資金貸付金</t>
  </si>
  <si>
    <t>中小企業振興費</t>
  </si>
  <si>
    <t>産地振興対策費</t>
  </si>
  <si>
    <t>地場産業振興指針策定費</t>
  </si>
  <si>
    <t>増</t>
  </si>
  <si>
    <t>注）前年の数字を参考として残しておく</t>
  </si>
  <si>
    <t>注）計算式は、値になおして財政課にわたす</t>
  </si>
  <si>
    <t>中小企業振興対策費</t>
  </si>
  <si>
    <t>金融対策費</t>
  </si>
  <si>
    <t>１０県民局に窓口設置</t>
  </si>
  <si>
    <t>わが家の耐震改修促進事業費</t>
  </si>
  <si>
    <t>繰入金</t>
  </si>
  <si>
    <t>地域経済活性化支援費補助</t>
  </si>
  <si>
    <t>商工会・商工会議所だけを通じた小規模対策事業の指導を改め減額する。半減</t>
  </si>
  <si>
    <t>？264398</t>
  </si>
  <si>
    <t>道路橋りょう管理費</t>
  </si>
  <si>
    <t>総合交通計画費</t>
  </si>
  <si>
    <t>播磨臨海地域道路計画調査費</t>
  </si>
  <si>
    <t>ダム管理費</t>
  </si>
  <si>
    <t>但馬空港管理費</t>
  </si>
  <si>
    <t>但馬路線運行対策費</t>
  </si>
  <si>
    <t>但馬路線運行対策費事業費補助</t>
  </si>
  <si>
    <t>県民交流広場推進費</t>
  </si>
  <si>
    <t>但馬ー羽田直行便就航実現化推進費</t>
  </si>
  <si>
    <t>耐震化促進のために１億円増額。</t>
  </si>
  <si>
    <t>報酬の見直し、８１００円（あっせん員単価）×２１（人）×４０（日）＝６８０４千円に。５８６１７千円の減額。</t>
  </si>
  <si>
    <t>労働委員会費</t>
  </si>
  <si>
    <t>医師確保等対策費</t>
  </si>
  <si>
    <t>職業訓練実施費</t>
  </si>
  <si>
    <t>技能再開発訓練費</t>
  </si>
  <si>
    <t>職業訓練時生活費支給事業</t>
  </si>
  <si>
    <t>播磨臨海地域道路など、必要のない高規格道路の調査費</t>
  </si>
  <si>
    <t>但馬空港管理、利活用促進費などを見直す。</t>
  </si>
  <si>
    <t>医師確保等対策費</t>
  </si>
  <si>
    <t>組合等施行の土地区画整理事業に対する補助に要する経費</t>
  </si>
  <si>
    <t>特定財源の検算</t>
  </si>
  <si>
    <t>財源内訳の検算</t>
  </si>
  <si>
    <t>教育推進費</t>
  </si>
  <si>
    <t>県民交流広場運営繰り入れ金</t>
  </si>
  <si>
    <t>35人学級を小学校５、６年生で実施する
３７６学級×４００万円</t>
  </si>
  <si>
    <t>ひょうご学力向上プロジェクト推進費</t>
  </si>
  <si>
    <t>人権教育指導者等研修実施費等</t>
  </si>
  <si>
    <t>５０％カット、明石海峡大橋基金を淡路の生活排水事業に</t>
  </si>
  <si>
    <t>大阪湾ベイエリア開発推進機構補助金</t>
  </si>
  <si>
    <t>事業を凍結する。</t>
  </si>
  <si>
    <t>離島航路総合支援事業費補助</t>
  </si>
  <si>
    <t>昨年並みに戻す</t>
  </si>
  <si>
    <t>平成21年度</t>
  </si>
  <si>
    <t>公債費収入</t>
  </si>
  <si>
    <t>公債費支出</t>
  </si>
  <si>
    <t>行革対象
一昨年並みに</t>
  </si>
  <si>
    <t>人と防災未来センター改修事業費</t>
  </si>
  <si>
    <t>盲ろう通訳介助員派遣と要訳筆記事業を増額</t>
  </si>
  <si>
    <t>行革前にもどす</t>
  </si>
  <si>
    <t>昨年並み</t>
  </si>
  <si>
    <t>消費生活行政推進費</t>
  </si>
  <si>
    <t>多重債務者対策費</t>
  </si>
  <si>
    <t>対策強化のため増額する。</t>
  </si>
  <si>
    <t>母子家庭等医療給付事業助成費</t>
  </si>
  <si>
    <t>新行革前</t>
  </si>
  <si>
    <t>新行革プラン前</t>
  </si>
  <si>
    <t>行革対象
一昨年並みに復活</t>
  </si>
  <si>
    <t>地球温暖化防止対策推進事業費</t>
  </si>
  <si>
    <t>人数を増やすため増額
５人増やす予算は、２２７３０千円</t>
  </si>
  <si>
    <t>ひょうご仕事と生活センター（仮称）事業費</t>
  </si>
  <si>
    <t>農業改良普及費</t>
  </si>
  <si>
    <t>農業改良普及センター運営費</t>
  </si>
  <si>
    <t>普及員研修費</t>
  </si>
  <si>
    <t>３０％カット
県営の基幹農道の蔦沢菅野（宍粟市、１．６億円）は反対。</t>
  </si>
  <si>
    <t>中小企業広域人材確保支援事業費</t>
  </si>
  <si>
    <t>職業訓練時の生活保障</t>
  </si>
  <si>
    <t>労働委員会費</t>
  </si>
  <si>
    <t>在日外国商工会議所等との連携による誘致促進トップセールス事業費</t>
  </si>
  <si>
    <t>５０％カット
余部道路や東播磨南北道路など</t>
  </si>
  <si>
    <t>道路等活力基盤整備事業費</t>
  </si>
  <si>
    <t>道路整備等地方の実情に応じて必要となる改築修繕等に要する経費</t>
  </si>
  <si>
    <t>金出地、菅生、与布土、西紀ダムの中止・凍結</t>
  </si>
  <si>
    <t>日本河川協会等分担金</t>
  </si>
  <si>
    <t>全国治水期成同盟会連合会分担金など</t>
  </si>
  <si>
    <t>港湾管理費</t>
  </si>
  <si>
    <t>日本港湾協会等分担金</t>
  </si>
  <si>
    <t>空港関係協議会等分担金</t>
  </si>
  <si>
    <t>神戸空港利用推進協議会（５００万円）、関西国際空港全体構想推進協議会（３２１７万５千円）、関西空港調査会（３０万円）、全国地域交通システム推進協議会（２２万５千円）</t>
  </si>
  <si>
    <t>但馬空港公園の維持経費</t>
  </si>
  <si>
    <t>国直轄空港事業負担金</t>
  </si>
  <si>
    <t>国の責任ですべき</t>
  </si>
  <si>
    <t>３５％カット
園田西武庫線（６億５０００万円）含む</t>
  </si>
  <si>
    <t>淡路島くにうみ協会運営費補助</t>
  </si>
  <si>
    <t>淡路島くにうみ協会の運営に要する経費</t>
  </si>
  <si>
    <t>事業を見直すために削除</t>
  </si>
  <si>
    <t>利用目的の不明瞭な土地の管理</t>
  </si>
  <si>
    <t>ひょうご教育創造プラン（仮称）の普及・啓発費</t>
  </si>
  <si>
    <t>学校評価推進事業費</t>
  </si>
  <si>
    <t>電子申請システム推進事業費</t>
  </si>
  <si>
    <t>総合行政ネットワーク運用管理推進事業費</t>
  </si>
  <si>
    <t>新学習指導要領の対応のための指導体制整備事業費</t>
  </si>
  <si>
    <t>行革対象、国基準との差額分の市町負担なくすために倍の予算に</t>
  </si>
  <si>
    <t>「県立高等学校教育改革第二次実施計画」の推進費</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</si>
</sst>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0;&quot;△ &quot;#,##0.000"/>
    <numFmt numFmtId="181" formatCode="#,##0.0;[Red]\-#,##0.0"/>
    <numFmt numFmtId="182" formatCode="#,##0.000;[Red]\-#,##0.000"/>
    <numFmt numFmtId="183" formatCode="#,##0.0000;[Red]\-#,##0.0000"/>
    <numFmt numFmtId="184" formatCode="#,##0.00000;[Red]\-#,##0.00000"/>
    <numFmt numFmtId="185" formatCode="#,##0.000000;[Red]\-#,##0.000000"/>
    <numFmt numFmtId="186" formatCode="#,##0.0000000;[Red]\-#,##0.0000000"/>
    <numFmt numFmtId="187" formatCode="#,##0.00000000;[Red]\-#,##0.00000000"/>
    <numFmt numFmtId="188" formatCode="#,##0.000000000;[Red]\-#,##0.000000000"/>
    <numFmt numFmtId="189" formatCode="#,##0.0000000000;[Red]\-#,##0.0000000000"/>
    <numFmt numFmtId="190" formatCode="#,##0.00000000000;[Red]\-#,##0.00000000000"/>
    <numFmt numFmtId="191" formatCode="#,##0.000000000000;[Red]\-#,##0.000000000000"/>
    <numFmt numFmtId="192" formatCode="#,##0.0000000000000;[Red]\-#,##0.0000000000000"/>
    <numFmt numFmtId="193" formatCode="#,##0.00000000000000;[Red]\-#,##0.00000000000000"/>
    <numFmt numFmtId="194" formatCode="#,##0.000000000000000;[Red]\-#,##0.000000000000000"/>
    <numFmt numFmtId="195" formatCode="#,##0.0000000000000000;[Red]\-#,##0.0000000000000000"/>
    <numFmt numFmtId="196" formatCode="#,##0.00000000000000000;[Red]\-#,##0.00000000000000000"/>
    <numFmt numFmtId="197" formatCode="#,##0.000000000000000000;[Red]\-#,##0.000000000000000000"/>
    <numFmt numFmtId="198" formatCode="#,##0.0000;&quot;△ &quot;#,##0.0000"/>
    <numFmt numFmtId="199" formatCode="#,##0.00000;&quot;△ &quot;#,##0.00000"/>
    <numFmt numFmtId="200" formatCode="#,##0.000000;&quot;△ &quot;#,##0.000000"/>
    <numFmt numFmtId="201" formatCode="#,##0.0000000;&quot;△ &quot;#,##0.0000000"/>
    <numFmt numFmtId="202" formatCode="#,##0.00000000;&quot;△ &quot;#,##0.00000000"/>
    <numFmt numFmtId="203" formatCode="#,##0.000000000;&quot;△ &quot;#,##0.000000000"/>
    <numFmt numFmtId="204" formatCode="#,##0.0000000000;&quot;△ &quot;#,##0.0000000000"/>
    <numFmt numFmtId="205" formatCode="#,##0.00000000000;&quot;△ &quot;#,##0.00000000000"/>
    <numFmt numFmtId="206" formatCode="#,##0.000000000000;&quot;△ &quot;#,##0.000000000000"/>
    <numFmt numFmtId="207" formatCode="#,##0.0000000000000;&quot;△ &quot;#,##0.0000000000000"/>
    <numFmt numFmtId="208" formatCode="#,##0.00000000000000;&quot;△ &quot;#,##0.00000000000000"/>
    <numFmt numFmtId="209" formatCode="#,##0.000000000000000;&quot;△ &quot;#,##0.000000000000000"/>
    <numFmt numFmtId="210" formatCode="0.0%"/>
  </numFmts>
  <fonts count="17">
    <font>
      <sz val="11"/>
      <name val="ＭＳ Ｐゴシック"/>
      <family val="0"/>
    </font>
    <font>
      <sz val="6"/>
      <name val="ＭＳ Ｐゴシック"/>
      <family val="3"/>
    </font>
    <font>
      <sz val="10"/>
      <name val="ＭＳ Ｐゴシック"/>
      <family val="3"/>
    </font>
    <font>
      <sz val="14"/>
      <name val="ＭＳ Ｐゴシック"/>
      <family val="3"/>
    </font>
    <font>
      <sz val="20"/>
      <name val="ＭＳ Ｐゴシック"/>
      <family val="3"/>
    </font>
    <font>
      <sz val="16"/>
      <name val="ＭＳ Ｐゴシック"/>
      <family val="3"/>
    </font>
    <font>
      <sz val="12"/>
      <name val="ＭＳ Ｐゴシック"/>
      <family val="3"/>
    </font>
    <font>
      <sz val="8"/>
      <name val="ＭＳ Ｐゴシック"/>
      <family val="3"/>
    </font>
    <font>
      <sz val="10"/>
      <name val="ＭＳ ゴシック"/>
      <family val="3"/>
    </font>
    <font>
      <sz val="10"/>
      <color indexed="10"/>
      <name val="ＭＳ Ｐゴシック"/>
      <family val="3"/>
    </font>
    <font>
      <sz val="11"/>
      <color indexed="10"/>
      <name val="ＭＳ Ｐゴシック"/>
      <family val="3"/>
    </font>
    <font>
      <sz val="18"/>
      <name val="ＭＳ Ｐゴシック"/>
      <family val="3"/>
    </font>
    <font>
      <b/>
      <sz val="13"/>
      <name val="ＭＳ Ｐゴシック"/>
      <family val="3"/>
    </font>
    <font>
      <sz val="9"/>
      <name val="ＭＳ Ｐゴシック"/>
      <family val="3"/>
    </font>
    <font>
      <sz val="16"/>
      <color indexed="10"/>
      <name val="ＭＳ Ｐゴシック"/>
      <family val="3"/>
    </font>
    <font>
      <u val="single"/>
      <sz val="9.9"/>
      <color indexed="12"/>
      <name val="ＭＳ Ｐゴシック"/>
      <family val="3"/>
    </font>
    <font>
      <u val="single"/>
      <sz val="9.9"/>
      <color indexed="36"/>
      <name val="ＭＳ Ｐゴシック"/>
      <family val="3"/>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s>
  <borders count="175">
    <border>
      <left/>
      <right/>
      <top/>
      <bottom/>
      <diagonal/>
    </border>
    <border>
      <left>
        <color indexed="63"/>
      </left>
      <right style="double"/>
      <top>
        <color indexed="63"/>
      </top>
      <bottom>
        <color indexed="63"/>
      </bottom>
    </border>
    <border>
      <left>
        <color indexed="63"/>
      </left>
      <right style="double"/>
      <top style="thin"/>
      <bottom style="thin"/>
    </border>
    <border>
      <left>
        <color indexed="63"/>
      </left>
      <right style="double"/>
      <top style="medium"/>
      <bottom style="medium"/>
    </border>
    <border>
      <left style="medium"/>
      <right style="double"/>
      <top>
        <color indexed="63"/>
      </top>
      <bottom>
        <color indexed="63"/>
      </bottom>
    </border>
    <border>
      <left style="medium"/>
      <right style="medium"/>
      <top>
        <color indexed="63"/>
      </top>
      <bottom style="thin"/>
    </border>
    <border>
      <left style="medium"/>
      <right style="double"/>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style="medium"/>
      <bottom style="medium"/>
    </border>
    <border>
      <left style="thin"/>
      <right style="thin"/>
      <top style="thin"/>
      <bottom style="thin"/>
    </border>
    <border>
      <left style="hair"/>
      <right style="double"/>
      <top style="thin"/>
      <bottom style="thin"/>
    </border>
    <border>
      <left>
        <color indexed="63"/>
      </left>
      <right style="medium"/>
      <top>
        <color indexed="63"/>
      </top>
      <bottom style="thin"/>
    </border>
    <border>
      <left style="hair"/>
      <right style="double"/>
      <top style="thin"/>
      <bottom>
        <color indexed="63"/>
      </bottom>
    </border>
    <border>
      <left style="hair"/>
      <right style="double"/>
      <top style="medium"/>
      <bottom style="medium"/>
    </border>
    <border>
      <left style="double"/>
      <right style="hair"/>
      <top>
        <color indexed="63"/>
      </top>
      <bottom style="thin"/>
    </border>
    <border>
      <left style="hair"/>
      <right style="double"/>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thin"/>
      <bottom>
        <color indexed="63"/>
      </bottom>
    </border>
    <border>
      <left style="medium"/>
      <right style="medium"/>
      <top style="medium"/>
      <bottom>
        <color indexed="63"/>
      </bottom>
    </border>
    <border>
      <left>
        <color indexed="63"/>
      </left>
      <right style="thin"/>
      <top style="thin"/>
      <bottom style="medium"/>
    </border>
    <border>
      <left style="thin"/>
      <right style="thin"/>
      <top style="thin"/>
      <bottom style="medium"/>
    </border>
    <border>
      <left style="double"/>
      <right style="hair"/>
      <top>
        <color indexed="63"/>
      </top>
      <bottom>
        <color indexed="63"/>
      </bottom>
    </border>
    <border>
      <left style="hair"/>
      <right style="double"/>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style="hair"/>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double"/>
      <right style="hair"/>
      <top style="thin"/>
      <bottom>
        <color indexed="63"/>
      </bottom>
    </border>
    <border>
      <left style="medium"/>
      <right style="medium"/>
      <top>
        <color indexed="63"/>
      </top>
      <bottom>
        <color indexed="63"/>
      </bottom>
    </border>
    <border>
      <left style="medium"/>
      <right style="medium"/>
      <top style="medium"/>
      <bottom style="medium"/>
    </border>
    <border>
      <left style="double"/>
      <right style="hair"/>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medium"/>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style="medium"/>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style="medium"/>
      <right style="thin"/>
      <top style="medium"/>
      <bottom style="medium"/>
    </border>
    <border>
      <left style="hair"/>
      <right>
        <color indexed="63"/>
      </right>
      <top style="medium"/>
      <bottom style="medium"/>
    </border>
    <border>
      <left style="thin"/>
      <right style="medium"/>
      <top style="medium"/>
      <bottom>
        <color indexed="63"/>
      </bottom>
    </border>
    <border>
      <left style="double"/>
      <right style="thin"/>
      <top style="medium"/>
      <bottom style="medium"/>
    </border>
    <border>
      <left style="medium"/>
      <right style="thin"/>
      <top style="thin"/>
      <bottom>
        <color indexed="63"/>
      </bottom>
    </border>
    <border>
      <left>
        <color indexed="63"/>
      </left>
      <right style="hair"/>
      <top style="medium"/>
      <bottom style="medium"/>
    </border>
    <border>
      <left style="double"/>
      <right>
        <color indexed="63"/>
      </right>
      <top style="medium"/>
      <bottom style="medium"/>
    </border>
    <border>
      <left style="double"/>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color indexed="63"/>
      </left>
      <right style="medium"/>
      <top>
        <color indexed="63"/>
      </top>
      <bottom style="medium"/>
    </border>
    <border>
      <left style="medium"/>
      <right style="medium"/>
      <top style="medium"/>
      <bottom style="thin"/>
    </border>
    <border>
      <left>
        <color indexed="63"/>
      </left>
      <right style="hair"/>
      <top style="thin"/>
      <bottom style="thin"/>
    </border>
    <border>
      <left>
        <color indexed="63"/>
      </left>
      <right style="hair"/>
      <top>
        <color indexed="63"/>
      </top>
      <bottom style="thin"/>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medium"/>
      <bottom style="thin"/>
    </border>
    <border>
      <left style="thin"/>
      <right>
        <color indexed="63"/>
      </right>
      <top>
        <color indexed="63"/>
      </top>
      <bottom style="thin"/>
    </border>
    <border>
      <left style="thin"/>
      <right style="medium"/>
      <top style="medium"/>
      <bottom style="thin"/>
    </border>
    <border>
      <left style="hair"/>
      <right style="double"/>
      <top style="medium"/>
      <bottom>
        <color indexed="63"/>
      </bottom>
    </border>
    <border>
      <left style="double"/>
      <right style="thin"/>
      <top>
        <color indexed="63"/>
      </top>
      <bottom style="thin"/>
    </border>
    <border>
      <left>
        <color indexed="63"/>
      </left>
      <right style="hair"/>
      <top style="medium"/>
      <bottom style="thin"/>
    </border>
    <border>
      <left style="double"/>
      <right style="hair"/>
      <top style="medium"/>
      <bottom style="thin"/>
    </border>
    <border>
      <left style="double"/>
      <right style="thin"/>
      <top style="thin"/>
      <bottom style="thin"/>
    </border>
    <border>
      <left style="double"/>
      <right>
        <color indexed="63"/>
      </right>
      <top>
        <color indexed="63"/>
      </top>
      <bottom style="thin"/>
    </border>
    <border>
      <left>
        <color indexed="63"/>
      </left>
      <right style="thin"/>
      <top style="medium"/>
      <bottom style="thin"/>
    </border>
    <border>
      <left>
        <color indexed="63"/>
      </left>
      <right style="medium"/>
      <top style="medium"/>
      <bottom style="thin"/>
    </border>
    <border>
      <left style="thin"/>
      <right style="medium"/>
      <top style="thin"/>
      <bottom style="medium"/>
    </border>
    <border>
      <left>
        <color indexed="63"/>
      </left>
      <right style="thin"/>
      <top>
        <color indexed="63"/>
      </top>
      <bottom style="medium"/>
    </border>
    <border>
      <left style="thin"/>
      <right style="thin"/>
      <top>
        <color indexed="63"/>
      </top>
      <bottom style="medium"/>
    </border>
    <border>
      <left style="thin"/>
      <right style="thin"/>
      <top style="medium"/>
      <bottom style="thin"/>
    </border>
    <border>
      <left style="thin"/>
      <right style="hair"/>
      <top style="medium"/>
      <bottom style="medium"/>
    </border>
    <border>
      <left style="thin"/>
      <right>
        <color indexed="63"/>
      </right>
      <top>
        <color indexed="63"/>
      </top>
      <bottom>
        <color indexed="63"/>
      </bottom>
    </border>
    <border>
      <left>
        <color indexed="63"/>
      </left>
      <right style="hair"/>
      <top style="medium"/>
      <bottom>
        <color indexed="63"/>
      </bottom>
    </border>
    <border>
      <left>
        <color indexed="63"/>
      </left>
      <right>
        <color indexed="63"/>
      </right>
      <top style="medium"/>
      <bottom>
        <color indexed="63"/>
      </bottom>
    </border>
    <border>
      <left style="double"/>
      <right style="hair"/>
      <top style="medium"/>
      <bottom>
        <color indexed="63"/>
      </bottom>
    </border>
    <border>
      <left>
        <color indexed="63"/>
      </left>
      <right style="hair"/>
      <top>
        <color indexed="63"/>
      </top>
      <bottom style="medium"/>
    </border>
    <border>
      <left style="hair"/>
      <right style="double"/>
      <top>
        <color indexed="63"/>
      </top>
      <bottom style="medium"/>
    </border>
    <border>
      <left style="double"/>
      <right style="hair"/>
      <top>
        <color indexed="63"/>
      </top>
      <bottom style="medium"/>
    </border>
    <border>
      <left style="hair"/>
      <right style="double"/>
      <top style="medium"/>
      <bottom style="thin"/>
    </border>
    <border>
      <left style="thin"/>
      <right style="medium"/>
      <top>
        <color indexed="63"/>
      </top>
      <bottom style="medium"/>
    </border>
    <border>
      <left style="double"/>
      <right style="thin"/>
      <top style="medium"/>
      <bottom style="thin"/>
    </border>
    <border>
      <left style="thin"/>
      <right style="double"/>
      <top style="medium"/>
      <bottom style="medium"/>
    </border>
    <border>
      <left style="medium"/>
      <right style="thin"/>
      <top>
        <color indexed="63"/>
      </top>
      <bottom style="thin"/>
    </border>
    <border>
      <left style="thin"/>
      <right style="double"/>
      <top>
        <color indexed="63"/>
      </top>
      <bottom style="thin"/>
    </border>
    <border>
      <left style="thin"/>
      <right style="double"/>
      <top style="thin"/>
      <bottom>
        <color indexed="63"/>
      </bottom>
    </border>
    <border>
      <left style="double"/>
      <right style="thin"/>
      <top style="thin"/>
      <bottom style="medium"/>
    </border>
    <border>
      <left style="thin"/>
      <right style="double"/>
      <top style="thin"/>
      <bottom style="medium"/>
    </border>
    <border>
      <left style="thin"/>
      <right style="double"/>
      <top style="medium"/>
      <bottom>
        <color indexed="63"/>
      </bottom>
    </border>
    <border>
      <left>
        <color indexed="63"/>
      </left>
      <right style="thin"/>
      <top style="medium"/>
      <bottom>
        <color indexed="63"/>
      </bottom>
    </border>
    <border>
      <left style="thin"/>
      <right style="hair"/>
      <top style="thin"/>
      <bottom style="medium"/>
    </border>
    <border>
      <left style="hair"/>
      <right style="thin"/>
      <top style="thin"/>
      <bottom style="medium"/>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medium"/>
    </border>
    <border>
      <left style="hair"/>
      <right style="thin"/>
      <top>
        <color indexed="63"/>
      </top>
      <bottom style="medium"/>
    </border>
    <border>
      <left style="thin"/>
      <right>
        <color indexed="63"/>
      </right>
      <top style="medium"/>
      <bottom style="thin"/>
    </border>
    <border>
      <left style="thin"/>
      <right>
        <color indexed="63"/>
      </right>
      <top>
        <color indexed="63"/>
      </top>
      <bottom style="medium"/>
    </border>
    <border>
      <left style="thin"/>
      <right style="double"/>
      <top>
        <color indexed="63"/>
      </top>
      <bottom style="medium"/>
    </border>
    <border>
      <left style="hair"/>
      <right>
        <color indexed="63"/>
      </right>
      <top>
        <color indexed="63"/>
      </top>
      <bottom style="medium"/>
    </border>
    <border>
      <left style="hair"/>
      <right>
        <color indexed="63"/>
      </right>
      <top>
        <color indexed="63"/>
      </top>
      <bottom style="thin"/>
    </border>
    <border>
      <left style="medium"/>
      <right>
        <color indexed="63"/>
      </right>
      <top style="medium"/>
      <bottom style="medium"/>
    </border>
    <border>
      <left style="double"/>
      <right>
        <color indexed="63"/>
      </right>
      <top style="thin"/>
      <bottom style="thin"/>
    </border>
    <border>
      <left style="hair"/>
      <right style="hair"/>
      <top style="medium"/>
      <bottom style="medium"/>
    </border>
    <border>
      <left style="medium"/>
      <right style="hair"/>
      <top style="medium"/>
      <bottom style="medium"/>
    </border>
    <border>
      <left style="double"/>
      <right>
        <color indexed="63"/>
      </right>
      <top style="medium"/>
      <bottom style="thin"/>
    </border>
    <border>
      <left style="thin"/>
      <right>
        <color indexed="63"/>
      </right>
      <top style="medium"/>
      <bottom style="medium"/>
    </border>
    <border>
      <left style="medium"/>
      <right style="hair"/>
      <top style="medium"/>
      <bottom>
        <color indexed="63"/>
      </bottom>
    </border>
    <border>
      <left style="hair"/>
      <right style="hair"/>
      <top style="medium"/>
      <bottom>
        <color indexed="63"/>
      </bottom>
    </border>
    <border>
      <left style="medium"/>
      <right style="hair"/>
      <top>
        <color indexed="63"/>
      </top>
      <bottom style="medium"/>
    </border>
    <border>
      <left style="hair"/>
      <right style="hair"/>
      <top style="thin"/>
      <bottom style="medium"/>
    </border>
    <border>
      <left style="hair"/>
      <right style="hair"/>
      <top>
        <color indexed="63"/>
      </top>
      <bottom style="medium"/>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thin"/>
    </border>
    <border>
      <left style="hair"/>
      <right style="hair"/>
      <top>
        <color indexed="63"/>
      </top>
      <bottom style="thin"/>
    </border>
    <border>
      <left style="medium"/>
      <right style="hair"/>
      <top style="thin"/>
      <bottom style="thin"/>
    </border>
    <border>
      <left style="hair"/>
      <right style="hair"/>
      <top style="thin"/>
      <bottom style="thin"/>
    </border>
    <border>
      <left style="medium"/>
      <right style="hair"/>
      <top style="medium"/>
      <bottom style="thin"/>
    </border>
    <border>
      <left style="hair"/>
      <right style="hair"/>
      <top style="medium"/>
      <bottom style="thin"/>
    </border>
    <border>
      <left style="medium"/>
      <right style="hair"/>
      <top style="thin"/>
      <bottom>
        <color indexed="63"/>
      </bottom>
    </border>
    <border>
      <left style="hair"/>
      <right style="hair"/>
      <top style="thin"/>
      <bottom>
        <color indexed="63"/>
      </bottom>
    </border>
    <border>
      <left style="medium"/>
      <right style="double"/>
      <top style="medium"/>
      <bottom style="medium"/>
    </border>
    <border>
      <left style="hair"/>
      <right>
        <color indexed="63"/>
      </right>
      <top style="thin"/>
      <bottom style="medium"/>
    </border>
    <border>
      <left style="hair"/>
      <right>
        <color indexed="63"/>
      </right>
      <top>
        <color indexed="63"/>
      </top>
      <bottom>
        <color indexed="63"/>
      </bottom>
    </border>
    <border>
      <left style="hair"/>
      <right>
        <color indexed="63"/>
      </right>
      <top style="thin"/>
      <bottom style="thin"/>
    </border>
    <border>
      <left style="hair"/>
      <right>
        <color indexed="63"/>
      </right>
      <top style="medium"/>
      <bottom style="thin"/>
    </border>
    <border>
      <left style="hair"/>
      <right>
        <color indexed="63"/>
      </right>
      <top style="thin"/>
      <bottom>
        <color indexed="63"/>
      </bottom>
    </border>
    <border>
      <left style="double"/>
      <right style="double"/>
      <top style="medium"/>
      <bottom>
        <color indexed="63"/>
      </bottom>
    </border>
    <border>
      <left style="double"/>
      <right style="double"/>
      <top>
        <color indexed="63"/>
      </top>
      <bottom style="medium"/>
    </border>
    <border>
      <left style="double"/>
      <right style="double"/>
      <top>
        <color indexed="63"/>
      </top>
      <bottom style="thin"/>
    </border>
    <border>
      <left style="double"/>
      <right style="double"/>
      <top style="medium"/>
      <bottom style="medium"/>
    </border>
    <border>
      <left style="double"/>
      <right style="double"/>
      <top>
        <color indexed="63"/>
      </top>
      <bottom>
        <color indexed="63"/>
      </bottom>
    </border>
    <border>
      <left style="double"/>
      <right style="double"/>
      <top style="thin"/>
      <bottom style="thin"/>
    </border>
    <border>
      <left style="double"/>
      <right style="double"/>
      <top style="medium"/>
      <bottom style="thin"/>
    </border>
    <border>
      <left style="double"/>
      <right style="double"/>
      <top style="thin"/>
      <bottom>
        <color indexed="63"/>
      </bottom>
    </border>
    <border>
      <left style="medium"/>
      <right style="thin"/>
      <top style="medium"/>
      <bottom style="thin"/>
    </border>
    <border>
      <left style="hair"/>
      <right style="medium"/>
      <top style="medium"/>
      <bottom style="thin"/>
    </border>
    <border>
      <left style="double"/>
      <right>
        <color indexed="63"/>
      </right>
      <top style="thin"/>
      <bottom>
        <color indexed="63"/>
      </bottom>
    </border>
    <border>
      <left style="hair"/>
      <right style="medium"/>
      <top style="thin"/>
      <bottom>
        <color indexed="63"/>
      </bottom>
    </border>
    <border>
      <left style="hair"/>
      <right style="medium"/>
      <top style="medium"/>
      <bottom style="medium"/>
    </border>
    <border>
      <left style="double"/>
      <right style="thin"/>
      <top style="thin"/>
      <bottom>
        <color indexed="63"/>
      </bottom>
    </border>
    <border>
      <left style="medium"/>
      <right style="thin"/>
      <top style="thin"/>
      <bottom style="thin"/>
    </border>
    <border>
      <left style="thin"/>
      <right>
        <color indexed="63"/>
      </right>
      <top style="thin"/>
      <bottom style="thin"/>
    </border>
    <border>
      <left style="hair"/>
      <right style="medium"/>
      <top style="thin"/>
      <bottom style="thin"/>
    </border>
    <border>
      <left style="thin"/>
      <right style="thin"/>
      <top style="medium"/>
      <bottom>
        <color indexed="63"/>
      </bottom>
    </border>
    <border>
      <left style="medium"/>
      <right style="double"/>
      <top style="medium"/>
      <bottom>
        <color indexed="63"/>
      </bottom>
    </border>
    <border>
      <left style="medium"/>
      <right style="double"/>
      <top>
        <color indexed="63"/>
      </top>
      <bottom style="medium"/>
    </border>
    <border>
      <left style="double"/>
      <right style="double"/>
      <top style="thin"/>
      <bottom style="medium"/>
    </border>
    <border>
      <left>
        <color indexed="63"/>
      </left>
      <right style="double"/>
      <top style="medium"/>
      <bottom>
        <color indexed="63"/>
      </bottom>
    </border>
    <border>
      <left>
        <color indexed="63"/>
      </left>
      <right style="double"/>
      <top>
        <color indexed="63"/>
      </top>
      <bottom style="medium"/>
    </border>
    <border>
      <left style="thin"/>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hair"/>
      <right style="medium"/>
      <top style="medium"/>
      <bottom>
        <color indexed="63"/>
      </bottom>
    </border>
    <border>
      <left style="hair"/>
      <right style="medium"/>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886">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vertical="top"/>
    </xf>
    <xf numFmtId="0" fontId="0" fillId="2" borderId="0" xfId="0" applyFill="1" applyAlignment="1">
      <alignment vertical="center"/>
    </xf>
    <xf numFmtId="38" fontId="0" fillId="2" borderId="0" xfId="17" applyFill="1" applyAlignment="1">
      <alignment/>
    </xf>
    <xf numFmtId="0" fontId="6" fillId="2" borderId="0" xfId="0" applyFont="1" applyFill="1" applyAlignment="1">
      <alignment wrapText="1"/>
    </xf>
    <xf numFmtId="0" fontId="0" fillId="2" borderId="0" xfId="0" applyFill="1" applyAlignment="1">
      <alignment wrapText="1"/>
    </xf>
    <xf numFmtId="176" fontId="5" fillId="2" borderId="0" xfId="0" applyNumberFormat="1" applyFont="1" applyFill="1" applyAlignment="1">
      <alignment vertical="center"/>
    </xf>
    <xf numFmtId="0" fontId="3" fillId="2" borderId="0" xfId="0" applyFont="1" applyFill="1" applyAlignment="1">
      <alignment vertical="center"/>
    </xf>
    <xf numFmtId="38" fontId="3" fillId="2" borderId="0" xfId="17" applyFont="1" applyFill="1" applyAlignment="1">
      <alignment/>
    </xf>
    <xf numFmtId="176" fontId="2" fillId="2" borderId="1" xfId="0" applyNumberFormat="1" applyFont="1" applyFill="1" applyBorder="1" applyAlignment="1">
      <alignment horizontal="right"/>
    </xf>
    <xf numFmtId="176" fontId="2" fillId="2" borderId="2" xfId="17" applyNumberFormat="1" applyFont="1" applyFill="1" applyBorder="1" applyAlignment="1">
      <alignment horizontal="right"/>
    </xf>
    <xf numFmtId="176" fontId="2" fillId="2" borderId="3" xfId="17" applyNumberFormat="1" applyFont="1" applyFill="1" applyBorder="1" applyAlignment="1">
      <alignment horizontal="right" wrapText="1"/>
    </xf>
    <xf numFmtId="0" fontId="2" fillId="2" borderId="4" xfId="0" applyFont="1" applyFill="1" applyBorder="1" applyAlignment="1">
      <alignment horizontal="center" vertical="center" wrapText="1"/>
    </xf>
    <xf numFmtId="0" fontId="8" fillId="2" borderId="5" xfId="0" applyFont="1" applyFill="1" applyBorder="1" applyAlignment="1">
      <alignment horizontal="distributed" vertical="center" wrapText="1"/>
    </xf>
    <xf numFmtId="0" fontId="2" fillId="2" borderId="6" xfId="0" applyFont="1" applyFill="1" applyBorder="1" applyAlignment="1">
      <alignment vertical="center" wrapText="1"/>
    </xf>
    <xf numFmtId="0" fontId="8" fillId="2" borderId="7"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vertical="center" wrapText="1"/>
    </xf>
    <xf numFmtId="0" fontId="2" fillId="2" borderId="12" xfId="0" applyFont="1" applyFill="1" applyBorder="1" applyAlignment="1">
      <alignment wrapText="1"/>
    </xf>
    <xf numFmtId="0" fontId="6" fillId="2" borderId="13" xfId="0" applyFont="1" applyFill="1" applyBorder="1" applyAlignment="1">
      <alignment horizontal="center" vertical="center" wrapText="1"/>
    </xf>
    <xf numFmtId="176" fontId="0" fillId="2" borderId="0" xfId="0" applyNumberFormat="1" applyFont="1" applyFill="1" applyAlignment="1" quotePrefix="1">
      <alignment vertical="center"/>
    </xf>
    <xf numFmtId="0" fontId="0" fillId="0" borderId="0" xfId="0" applyBorder="1" applyAlignment="1">
      <alignment vertical="center"/>
    </xf>
    <xf numFmtId="0" fontId="0" fillId="0" borderId="0" xfId="0" applyFill="1" applyBorder="1" applyAlignment="1">
      <alignment vertical="center"/>
    </xf>
    <xf numFmtId="176" fontId="2" fillId="0" borderId="14" xfId="17" applyNumberFormat="1" applyFont="1" applyFill="1" applyBorder="1" applyAlignment="1">
      <alignment/>
    </xf>
    <xf numFmtId="176" fontId="2" fillId="0" borderId="15" xfId="17" applyNumberFormat="1" applyFont="1" applyFill="1" applyBorder="1" applyAlignment="1">
      <alignment/>
    </xf>
    <xf numFmtId="176" fontId="7" fillId="0" borderId="0" xfId="0" applyNumberFormat="1" applyFont="1" applyFill="1" applyBorder="1" applyAlignment="1">
      <alignment horizontal="center" vertical="center" wrapText="1"/>
    </xf>
    <xf numFmtId="0" fontId="4" fillId="0" borderId="0" xfId="0" applyFont="1" applyFill="1" applyAlignment="1">
      <alignment horizontal="center"/>
    </xf>
    <xf numFmtId="176" fontId="2" fillId="0" borderId="16" xfId="17" applyNumberFormat="1" applyFont="1" applyFill="1" applyBorder="1" applyAlignment="1">
      <alignment/>
    </xf>
    <xf numFmtId="176" fontId="2" fillId="0" borderId="17" xfId="17" applyNumberFormat="1" applyFont="1" applyFill="1" applyBorder="1" applyAlignment="1">
      <alignment horizontal="right" wrapText="1"/>
    </xf>
    <xf numFmtId="176" fontId="2" fillId="0" borderId="18" xfId="17" applyNumberFormat="1" applyFont="1" applyFill="1" applyBorder="1" applyAlignment="1">
      <alignment wrapText="1"/>
    </xf>
    <xf numFmtId="176" fontId="2" fillId="0" borderId="19" xfId="17" applyNumberFormat="1" applyFont="1" applyFill="1" applyBorder="1" applyAlignment="1">
      <alignment/>
    </xf>
    <xf numFmtId="176" fontId="2" fillId="0" borderId="20" xfId="17" applyNumberFormat="1" applyFont="1" applyFill="1" applyBorder="1" applyAlignment="1">
      <alignment/>
    </xf>
    <xf numFmtId="176" fontId="2" fillId="0" borderId="21" xfId="17" applyNumberFormat="1" applyFont="1" applyFill="1" applyBorder="1" applyAlignment="1">
      <alignment/>
    </xf>
    <xf numFmtId="176" fontId="2" fillId="0" borderId="22" xfId="17" applyNumberFormat="1" applyFont="1" applyFill="1" applyBorder="1" applyAlignment="1">
      <alignment/>
    </xf>
    <xf numFmtId="0" fontId="7" fillId="0" borderId="23" xfId="0" applyFont="1" applyFill="1" applyBorder="1" applyAlignment="1">
      <alignment vertical="center" wrapText="1"/>
    </xf>
    <xf numFmtId="0" fontId="7" fillId="0" borderId="7" xfId="0" applyFont="1" applyFill="1" applyBorder="1" applyAlignment="1">
      <alignment vertical="center" wrapText="1"/>
    </xf>
    <xf numFmtId="176" fontId="2" fillId="0" borderId="24" xfId="17" applyNumberFormat="1" applyFont="1" applyFill="1" applyBorder="1" applyAlignment="1">
      <alignment/>
    </xf>
    <xf numFmtId="176" fontId="2" fillId="0" borderId="25" xfId="17" applyNumberFormat="1" applyFont="1" applyFill="1" applyBorder="1" applyAlignment="1">
      <alignment/>
    </xf>
    <xf numFmtId="176" fontId="2" fillId="0" borderId="26" xfId="17" applyNumberFormat="1" applyFont="1" applyFill="1" applyBorder="1" applyAlignment="1">
      <alignment wrapText="1"/>
    </xf>
    <xf numFmtId="176" fontId="2" fillId="0" borderId="27" xfId="17" applyNumberFormat="1" applyFont="1" applyFill="1" applyBorder="1" applyAlignment="1">
      <alignment/>
    </xf>
    <xf numFmtId="176" fontId="2" fillId="0" borderId="28" xfId="17" applyNumberFormat="1" applyFont="1" applyFill="1" applyBorder="1" applyAlignment="1">
      <alignment/>
    </xf>
    <xf numFmtId="176" fontId="2" fillId="0" borderId="29" xfId="17" applyNumberFormat="1" applyFont="1" applyFill="1" applyBorder="1" applyAlignment="1">
      <alignment/>
    </xf>
    <xf numFmtId="176" fontId="2" fillId="0" borderId="10" xfId="17" applyNumberFormat="1" applyFont="1" applyFill="1" applyBorder="1" applyAlignment="1">
      <alignment/>
    </xf>
    <xf numFmtId="176" fontId="2" fillId="0" borderId="30" xfId="17" applyNumberFormat="1" applyFont="1" applyFill="1" applyBorder="1" applyAlignment="1">
      <alignment wrapText="1"/>
    </xf>
    <xf numFmtId="176" fontId="2" fillId="0" borderId="31" xfId="17" applyNumberFormat="1" applyFont="1" applyFill="1" applyBorder="1" applyAlignment="1">
      <alignment/>
    </xf>
    <xf numFmtId="176" fontId="2" fillId="0" borderId="13" xfId="17" applyNumberFormat="1" applyFont="1" applyFill="1" applyBorder="1" applyAlignment="1">
      <alignment/>
    </xf>
    <xf numFmtId="176" fontId="2" fillId="0" borderId="11" xfId="17" applyNumberFormat="1" applyFont="1" applyFill="1" applyBorder="1" applyAlignment="1">
      <alignment/>
    </xf>
    <xf numFmtId="0" fontId="7" fillId="0" borderId="5" xfId="0" applyFont="1" applyFill="1" applyBorder="1" applyAlignment="1">
      <alignment vertical="center" wrapText="1"/>
    </xf>
    <xf numFmtId="0" fontId="7" fillId="0" borderId="8" xfId="0" applyFont="1" applyFill="1" applyBorder="1" applyAlignment="1">
      <alignment vertical="center" wrapText="1"/>
    </xf>
    <xf numFmtId="176" fontId="2" fillId="0" borderId="32" xfId="17" applyNumberFormat="1" applyFont="1" applyFill="1" applyBorder="1" applyAlignment="1">
      <alignment/>
    </xf>
    <xf numFmtId="176" fontId="2" fillId="0" borderId="33" xfId="17" applyNumberFormat="1" applyFont="1" applyFill="1" applyBorder="1" applyAlignment="1">
      <alignment/>
    </xf>
    <xf numFmtId="176" fontId="2" fillId="0" borderId="34" xfId="17" applyNumberFormat="1" applyFont="1" applyFill="1" applyBorder="1" applyAlignment="1">
      <alignment/>
    </xf>
    <xf numFmtId="176" fontId="2" fillId="0" borderId="35" xfId="17" applyNumberFormat="1" applyFont="1" applyFill="1" applyBorder="1" applyAlignment="1">
      <alignment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176" fontId="2" fillId="0" borderId="38" xfId="17" applyNumberFormat="1" applyFont="1" applyFill="1" applyBorder="1" applyAlignment="1">
      <alignment wrapText="1"/>
    </xf>
    <xf numFmtId="176" fontId="2" fillId="0" borderId="17" xfId="17" applyNumberFormat="1" applyFont="1" applyFill="1" applyBorder="1" applyAlignment="1">
      <alignment/>
    </xf>
    <xf numFmtId="176" fontId="2" fillId="0" borderId="39" xfId="17" applyNumberFormat="1" applyFont="1" applyFill="1" applyBorder="1" applyAlignment="1">
      <alignment/>
    </xf>
    <xf numFmtId="176" fontId="2" fillId="0" borderId="40" xfId="17" applyNumberFormat="1" applyFont="1" applyFill="1" applyBorder="1" applyAlignment="1">
      <alignment/>
    </xf>
    <xf numFmtId="176" fontId="2" fillId="0" borderId="0" xfId="17" applyNumberFormat="1" applyFont="1" applyFill="1" applyBorder="1" applyAlignment="1">
      <alignment/>
    </xf>
    <xf numFmtId="0" fontId="7" fillId="0" borderId="41" xfId="0" applyFont="1" applyFill="1" applyBorder="1" applyAlignment="1">
      <alignment vertical="center" wrapText="1"/>
    </xf>
    <xf numFmtId="176" fontId="2" fillId="0" borderId="42" xfId="17" applyNumberFormat="1" applyFont="1" applyFill="1" applyBorder="1" applyAlignment="1">
      <alignment/>
    </xf>
    <xf numFmtId="0" fontId="7" fillId="0" borderId="0" xfId="0" applyFont="1" applyFill="1" applyAlignment="1">
      <alignment wrapText="1"/>
    </xf>
    <xf numFmtId="0" fontId="0" fillId="0" borderId="0" xfId="0" applyFill="1" applyAlignment="1">
      <alignment vertical="center"/>
    </xf>
    <xf numFmtId="176" fontId="2" fillId="0" borderId="43" xfId="17" applyNumberFormat="1" applyFont="1" applyFill="1" applyBorder="1" applyAlignment="1">
      <alignment/>
    </xf>
    <xf numFmtId="176" fontId="2" fillId="0" borderId="44" xfId="17" applyNumberFormat="1" applyFont="1" applyFill="1" applyBorder="1" applyAlignment="1">
      <alignment/>
    </xf>
    <xf numFmtId="0" fontId="7" fillId="0" borderId="44"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horizontal="center" wrapText="1"/>
    </xf>
    <xf numFmtId="0" fontId="4" fillId="0" borderId="0" xfId="0" applyFont="1" applyFill="1" applyAlignment="1">
      <alignment horizontal="left" vertical="top"/>
    </xf>
    <xf numFmtId="0" fontId="0" fillId="0" borderId="0" xfId="0" applyFill="1" applyAlignment="1">
      <alignment wrapText="1"/>
    </xf>
    <xf numFmtId="0" fontId="3" fillId="0" borderId="13" xfId="0" applyFont="1" applyFill="1" applyBorder="1" applyAlignment="1">
      <alignment horizontal="center"/>
    </xf>
    <xf numFmtId="0" fontId="3" fillId="0" borderId="0" xfId="0" applyFont="1" applyFill="1" applyAlignment="1">
      <alignment vertical="center"/>
    </xf>
    <xf numFmtId="176" fontId="0" fillId="0" borderId="0" xfId="0" applyNumberFormat="1" applyFill="1" applyAlignment="1">
      <alignment vertical="center"/>
    </xf>
    <xf numFmtId="0" fontId="2" fillId="0" borderId="0" xfId="0" applyFont="1" applyFill="1" applyAlignment="1">
      <alignment horizontal="right" wrapText="1"/>
    </xf>
    <xf numFmtId="176" fontId="2" fillId="0" borderId="0" xfId="0" applyNumberFormat="1" applyFont="1" applyFill="1" applyAlignment="1" quotePrefix="1">
      <alignment vertical="center"/>
    </xf>
    <xf numFmtId="176" fontId="0" fillId="0" borderId="0" xfId="0" applyNumberFormat="1" applyFill="1" applyAlignment="1">
      <alignment horizontal="right"/>
    </xf>
    <xf numFmtId="22" fontId="0" fillId="0" borderId="34" xfId="0" applyNumberFormat="1" applyFill="1" applyBorder="1" applyAlignment="1" quotePrefix="1">
      <alignment/>
    </xf>
    <xf numFmtId="22" fontId="0" fillId="0" borderId="0" xfId="0" applyNumberFormat="1" applyFill="1" applyBorder="1" applyAlignment="1" quotePrefix="1">
      <alignment/>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46" xfId="0" applyFont="1" applyFill="1" applyBorder="1" applyAlignment="1">
      <alignment horizontal="center" vertical="center"/>
    </xf>
    <xf numFmtId="49" fontId="7" fillId="0" borderId="23" xfId="0" applyNumberFormat="1" applyFont="1" applyFill="1" applyBorder="1" applyAlignment="1">
      <alignment vertical="center" wrapText="1"/>
    </xf>
    <xf numFmtId="49" fontId="7" fillId="0" borderId="41" xfId="0" applyNumberFormat="1" applyFont="1" applyFill="1" applyBorder="1" applyAlignment="1">
      <alignment vertical="center" wrapText="1"/>
    </xf>
    <xf numFmtId="0" fontId="7" fillId="0" borderId="45" xfId="0" applyFont="1" applyFill="1" applyBorder="1" applyAlignment="1">
      <alignment vertical="center" textRotation="255"/>
    </xf>
    <xf numFmtId="0" fontId="7" fillId="0" borderId="47" xfId="0" applyFont="1" applyFill="1" applyBorder="1" applyAlignment="1">
      <alignment vertical="center" textRotation="255"/>
    </xf>
    <xf numFmtId="0" fontId="7" fillId="0" borderId="43" xfId="0" applyFont="1" applyFill="1" applyBorder="1" applyAlignment="1">
      <alignment vertical="center" wrapText="1"/>
    </xf>
    <xf numFmtId="0" fontId="7" fillId="0" borderId="48" xfId="0" applyFont="1" applyFill="1" applyBorder="1" applyAlignment="1">
      <alignment vertical="center" wrapText="1"/>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xf>
    <xf numFmtId="0" fontId="7" fillId="0" borderId="42" xfId="0" applyFont="1" applyFill="1" applyBorder="1" applyAlignment="1">
      <alignment vertical="center" wrapText="1"/>
    </xf>
    <xf numFmtId="176" fontId="2" fillId="0" borderId="53" xfId="17" applyNumberFormat="1" applyFont="1" applyFill="1" applyBorder="1" applyAlignment="1">
      <alignment/>
    </xf>
    <xf numFmtId="0" fontId="7" fillId="0" borderId="54" xfId="0" applyFont="1" applyFill="1" applyBorder="1" applyAlignment="1">
      <alignment vertical="center" wrapText="1"/>
    </xf>
    <xf numFmtId="0" fontId="7" fillId="0" borderId="47" xfId="0" applyFont="1" applyFill="1" applyBorder="1" applyAlignment="1">
      <alignment vertical="center"/>
    </xf>
    <xf numFmtId="0" fontId="7" fillId="0" borderId="45" xfId="0" applyFont="1" applyFill="1" applyBorder="1" applyAlignment="1">
      <alignment vertical="center"/>
    </xf>
    <xf numFmtId="176" fontId="2" fillId="0" borderId="55" xfId="17" applyNumberFormat="1" applyFont="1" applyFill="1" applyBorder="1" applyAlignment="1">
      <alignment/>
    </xf>
    <xf numFmtId="0" fontId="7" fillId="0" borderId="56" xfId="0" applyFont="1" applyFill="1" applyBorder="1" applyAlignment="1">
      <alignment vertical="center" textRotation="255"/>
    </xf>
    <xf numFmtId="176" fontId="2" fillId="0" borderId="57" xfId="17" applyNumberFormat="1" applyFont="1" applyFill="1" applyBorder="1" applyAlignment="1">
      <alignment wrapText="1"/>
    </xf>
    <xf numFmtId="176" fontId="2" fillId="0" borderId="58" xfId="17" applyNumberFormat="1" applyFont="1" applyFill="1" applyBorder="1" applyAlignment="1">
      <alignment wrapText="1"/>
    </xf>
    <xf numFmtId="176" fontId="2" fillId="0" borderId="40" xfId="17" applyNumberFormat="1" applyFont="1" applyFill="1" applyBorder="1" applyAlignment="1">
      <alignment wrapText="1"/>
    </xf>
    <xf numFmtId="176" fontId="2" fillId="0" borderId="42" xfId="17" applyNumberFormat="1" applyFont="1" applyFill="1" applyBorder="1" applyAlignment="1">
      <alignment wrapText="1"/>
    </xf>
    <xf numFmtId="176" fontId="2" fillId="0" borderId="0" xfId="17" applyNumberFormat="1" applyFont="1" applyFill="1" applyBorder="1" applyAlignment="1">
      <alignment wrapText="1"/>
    </xf>
    <xf numFmtId="0" fontId="7" fillId="0" borderId="52" xfId="0" applyFont="1" applyFill="1" applyBorder="1" applyAlignment="1">
      <alignment vertical="center" textRotation="255"/>
    </xf>
    <xf numFmtId="0" fontId="7" fillId="0" borderId="0" xfId="0" applyFont="1" applyFill="1" applyAlignment="1">
      <alignment vertical="center"/>
    </xf>
    <xf numFmtId="176" fontId="2" fillId="0" borderId="59" xfId="17" applyNumberFormat="1" applyFont="1" applyFill="1" applyBorder="1" applyAlignment="1">
      <alignment horizontal="right" wrapText="1"/>
    </xf>
    <xf numFmtId="176" fontId="2" fillId="0" borderId="40" xfId="17" applyNumberFormat="1" applyFont="1" applyFill="1" applyBorder="1" applyAlignment="1">
      <alignment horizontal="right" wrapText="1"/>
    </xf>
    <xf numFmtId="176" fontId="2" fillId="0" borderId="42" xfId="17" applyNumberFormat="1" applyFont="1" applyFill="1" applyBorder="1" applyAlignment="1">
      <alignment horizontal="right" wrapText="1"/>
    </xf>
    <xf numFmtId="176" fontId="2" fillId="0" borderId="0" xfId="17" applyNumberFormat="1" applyFont="1" applyFill="1" applyBorder="1" applyAlignment="1">
      <alignment horizontal="right" wrapText="1"/>
    </xf>
    <xf numFmtId="176" fontId="2" fillId="0" borderId="34" xfId="17" applyNumberFormat="1" applyFont="1" applyFill="1" applyBorder="1" applyAlignment="1">
      <alignment horizontal="right" wrapText="1"/>
    </xf>
    <xf numFmtId="176" fontId="0" fillId="0" borderId="0" xfId="0" applyNumberFormat="1" applyFill="1" applyBorder="1" applyAlignment="1">
      <alignment vertical="center"/>
    </xf>
    <xf numFmtId="38" fontId="0" fillId="0" borderId="0" xfId="17" applyFill="1" applyBorder="1" applyAlignment="1">
      <alignment vertical="center"/>
    </xf>
    <xf numFmtId="38" fontId="0" fillId="0" borderId="0" xfId="0" applyNumberFormat="1" applyFill="1" applyBorder="1" applyAlignment="1">
      <alignment vertical="center"/>
    </xf>
    <xf numFmtId="176" fontId="2" fillId="0" borderId="60" xfId="17" applyNumberFormat="1" applyFont="1" applyFill="1" applyBorder="1" applyAlignment="1">
      <alignment/>
    </xf>
    <xf numFmtId="176" fontId="2" fillId="0" borderId="61" xfId="17" applyNumberFormat="1" applyFont="1" applyFill="1" applyBorder="1" applyAlignment="1">
      <alignment/>
    </xf>
    <xf numFmtId="176" fontId="2" fillId="0" borderId="62" xfId="17" applyNumberFormat="1" applyFont="1" applyFill="1" applyBorder="1" applyAlignment="1">
      <alignment/>
    </xf>
    <xf numFmtId="176" fontId="2" fillId="0" borderId="44" xfId="17" applyNumberFormat="1" applyFont="1" applyFill="1" applyBorder="1" applyAlignment="1">
      <alignment wrapText="1"/>
    </xf>
    <xf numFmtId="0" fontId="7" fillId="0" borderId="63"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41" xfId="0" applyFont="1" applyFill="1" applyBorder="1" applyAlignment="1">
      <alignment horizontal="center" vertical="center"/>
    </xf>
    <xf numFmtId="0" fontId="7" fillId="0" borderId="64" xfId="0" applyFont="1" applyFill="1" applyBorder="1" applyAlignment="1">
      <alignment horizontal="center" vertical="center"/>
    </xf>
    <xf numFmtId="49" fontId="7" fillId="0" borderId="65" xfId="0" applyNumberFormat="1" applyFont="1" applyFill="1" applyBorder="1" applyAlignment="1">
      <alignment vertical="center" wrapText="1"/>
    </xf>
    <xf numFmtId="0" fontId="2" fillId="0" borderId="0" xfId="0" applyFont="1" applyFill="1" applyAlignment="1">
      <alignment vertical="center"/>
    </xf>
    <xf numFmtId="176" fontId="2" fillId="0" borderId="0" xfId="0" applyNumberFormat="1" applyFont="1" applyFill="1" applyAlignment="1">
      <alignment vertical="center"/>
    </xf>
    <xf numFmtId="49" fontId="7" fillId="0" borderId="7" xfId="0" applyNumberFormat="1" applyFont="1" applyFill="1" applyBorder="1" applyAlignment="1">
      <alignment vertical="center" wrapText="1"/>
    </xf>
    <xf numFmtId="0" fontId="7" fillId="0" borderId="8" xfId="0" applyFont="1" applyFill="1" applyBorder="1" applyAlignment="1">
      <alignment horizontal="left" vertical="center" wrapText="1"/>
    </xf>
    <xf numFmtId="176" fontId="2" fillId="0" borderId="66" xfId="17" applyNumberFormat="1" applyFont="1" applyFill="1" applyBorder="1" applyAlignment="1">
      <alignment wrapText="1"/>
    </xf>
    <xf numFmtId="176" fontId="2" fillId="0" borderId="67" xfId="17" applyNumberFormat="1" applyFont="1" applyFill="1" applyBorder="1" applyAlignment="1">
      <alignment wrapText="1"/>
    </xf>
    <xf numFmtId="176" fontId="2" fillId="0" borderId="68" xfId="17" applyNumberFormat="1" applyFont="1" applyFill="1" applyBorder="1" applyAlignment="1">
      <alignment wrapText="1"/>
    </xf>
    <xf numFmtId="176" fontId="2" fillId="0" borderId="69" xfId="17" applyNumberFormat="1" applyFont="1" applyFill="1" applyBorder="1" applyAlignment="1">
      <alignment wrapText="1"/>
    </xf>
    <xf numFmtId="176" fontId="2" fillId="0" borderId="34" xfId="17" applyNumberFormat="1" applyFont="1" applyFill="1" applyBorder="1" applyAlignment="1">
      <alignment wrapText="1"/>
    </xf>
    <xf numFmtId="0" fontId="7" fillId="0" borderId="2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9" xfId="0" applyFont="1" applyFill="1" applyBorder="1" applyAlignment="1">
      <alignment vertical="center" wrapText="1"/>
    </xf>
    <xf numFmtId="176" fontId="2" fillId="0" borderId="70" xfId="17" applyNumberFormat="1" applyFont="1" applyFill="1" applyBorder="1" applyAlignment="1">
      <alignment/>
    </xf>
    <xf numFmtId="49" fontId="7" fillId="0" borderId="0" xfId="0" applyNumberFormat="1" applyFont="1" applyFill="1" applyAlignment="1">
      <alignment horizontal="center" vertical="center"/>
    </xf>
    <xf numFmtId="49" fontId="7" fillId="0" borderId="0" xfId="0" applyNumberFormat="1" applyFont="1" applyFill="1" applyAlignment="1">
      <alignment vertical="center" wrapText="1"/>
    </xf>
    <xf numFmtId="49" fontId="7" fillId="0" borderId="5" xfId="0" applyNumberFormat="1" applyFont="1" applyFill="1" applyBorder="1" applyAlignment="1">
      <alignment vertical="center" wrapText="1"/>
    </xf>
    <xf numFmtId="49" fontId="7" fillId="0" borderId="36" xfId="0" applyNumberFormat="1" applyFont="1" applyFill="1" applyBorder="1" applyAlignment="1">
      <alignment vertical="center" wrapText="1"/>
    </xf>
    <xf numFmtId="49" fontId="7" fillId="0" borderId="37" xfId="0" applyNumberFormat="1" applyFont="1" applyFill="1" applyBorder="1" applyAlignment="1">
      <alignment vertical="center" wrapText="1"/>
    </xf>
    <xf numFmtId="49" fontId="7" fillId="0" borderId="8" xfId="0" applyNumberFormat="1" applyFont="1" applyFill="1" applyBorder="1" applyAlignment="1">
      <alignment vertical="center" wrapText="1"/>
    </xf>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0" fontId="7" fillId="0" borderId="0" xfId="0" applyFont="1" applyFill="1" applyBorder="1" applyAlignment="1">
      <alignment vertical="center" wrapText="1"/>
    </xf>
    <xf numFmtId="176" fontId="2" fillId="0" borderId="50" xfId="17" applyNumberFormat="1" applyFont="1" applyFill="1" applyBorder="1" applyAlignment="1">
      <alignment/>
    </xf>
    <xf numFmtId="176" fontId="2" fillId="0" borderId="48" xfId="17" applyNumberFormat="1" applyFont="1" applyFill="1" applyBorder="1" applyAlignment="1">
      <alignment/>
    </xf>
    <xf numFmtId="0" fontId="7" fillId="0" borderId="45" xfId="0" applyFont="1" applyFill="1" applyBorder="1" applyAlignment="1">
      <alignment horizontal="center" vertical="top" textRotation="255"/>
    </xf>
    <xf numFmtId="0" fontId="0" fillId="0" borderId="49" xfId="0" applyFill="1" applyBorder="1" applyAlignment="1">
      <alignment vertical="center"/>
    </xf>
    <xf numFmtId="0" fontId="7" fillId="0" borderId="36" xfId="0" applyFont="1" applyFill="1" applyBorder="1" applyAlignment="1">
      <alignment vertical="center"/>
    </xf>
    <xf numFmtId="49" fontId="7" fillId="0" borderId="60" xfId="0" applyNumberFormat="1" applyFont="1" applyFill="1" applyBorder="1" applyAlignment="1">
      <alignment wrapText="1"/>
    </xf>
    <xf numFmtId="176" fontId="2" fillId="0" borderId="49" xfId="17" applyNumberFormat="1" applyFont="1" applyFill="1" applyBorder="1" applyAlignment="1">
      <alignment/>
    </xf>
    <xf numFmtId="0" fontId="0" fillId="0" borderId="13" xfId="0" applyFill="1" applyBorder="1" applyAlignment="1">
      <alignment vertical="center"/>
    </xf>
    <xf numFmtId="176" fontId="2" fillId="0" borderId="62" xfId="17" applyNumberFormat="1" applyFont="1" applyFill="1" applyBorder="1" applyAlignment="1">
      <alignment wrapText="1"/>
    </xf>
    <xf numFmtId="0" fontId="7" fillId="0" borderId="71" xfId="0" applyFont="1" applyFill="1" applyBorder="1" applyAlignment="1">
      <alignment vertical="center" wrapText="1"/>
    </xf>
    <xf numFmtId="38" fontId="2" fillId="0" borderId="0" xfId="17" applyFont="1" applyFill="1" applyBorder="1" applyAlignment="1">
      <alignment horizontal="right" wrapText="1"/>
    </xf>
    <xf numFmtId="176" fontId="2" fillId="0" borderId="28" xfId="0" applyNumberFormat="1" applyFont="1" applyFill="1" applyBorder="1" applyAlignment="1">
      <alignment horizontal="right"/>
    </xf>
    <xf numFmtId="176" fontId="2" fillId="0" borderId="29" xfId="0" applyNumberFormat="1" applyFont="1" applyFill="1" applyBorder="1" applyAlignment="1">
      <alignment horizontal="right"/>
    </xf>
    <xf numFmtId="0" fontId="2" fillId="0" borderId="29" xfId="0" applyFont="1" applyFill="1" applyBorder="1" applyAlignment="1">
      <alignment horizontal="right" wrapText="1"/>
    </xf>
    <xf numFmtId="176" fontId="2" fillId="0" borderId="29" xfId="0" applyNumberFormat="1" applyFont="1" applyFill="1" applyBorder="1" applyAlignment="1">
      <alignment horizontal="right" wrapText="1"/>
    </xf>
    <xf numFmtId="176" fontId="2" fillId="0" borderId="54" xfId="0" applyNumberFormat="1" applyFont="1" applyFill="1" applyBorder="1" applyAlignment="1">
      <alignment horizontal="right" wrapText="1"/>
    </xf>
    <xf numFmtId="176" fontId="2" fillId="0" borderId="23" xfId="0" applyNumberFormat="1" applyFont="1" applyFill="1" applyBorder="1" applyAlignment="1">
      <alignment horizontal="center" vertical="center" wrapText="1"/>
    </xf>
    <xf numFmtId="176" fontId="2" fillId="0" borderId="23" xfId="0" applyNumberFormat="1" applyFont="1" applyFill="1" applyBorder="1" applyAlignment="1">
      <alignment horizontal="right" wrapText="1"/>
    </xf>
    <xf numFmtId="0" fontId="7" fillId="0" borderId="52" xfId="0" applyFont="1" applyFill="1" applyBorder="1" applyAlignment="1">
      <alignment horizontal="center" vertical="top" textRotation="255"/>
    </xf>
    <xf numFmtId="38" fontId="2" fillId="0" borderId="44" xfId="17" applyFont="1" applyFill="1" applyBorder="1" applyAlignment="1">
      <alignment horizontal="right" wrapText="1"/>
    </xf>
    <xf numFmtId="0" fontId="2" fillId="0" borderId="39" xfId="0" applyFont="1" applyFill="1" applyBorder="1" applyAlignment="1">
      <alignment horizontal="right" wrapText="1"/>
    </xf>
    <xf numFmtId="176" fontId="2" fillId="0" borderId="40" xfId="0" applyNumberFormat="1" applyFont="1" applyFill="1" applyBorder="1" applyAlignment="1">
      <alignment horizontal="right" wrapText="1"/>
    </xf>
    <xf numFmtId="176" fontId="2" fillId="0" borderId="12" xfId="0" applyNumberFormat="1" applyFont="1" applyFill="1" applyBorder="1" applyAlignment="1">
      <alignment horizontal="right" wrapText="1"/>
    </xf>
    <xf numFmtId="176" fontId="2" fillId="0" borderId="44" xfId="0" applyNumberFormat="1" applyFont="1" applyFill="1" applyBorder="1" applyAlignment="1">
      <alignment horizontal="center" vertical="center" wrapText="1"/>
    </xf>
    <xf numFmtId="176" fontId="2" fillId="0" borderId="72" xfId="17" applyNumberFormat="1" applyFont="1" applyFill="1" applyBorder="1" applyAlignment="1">
      <alignment/>
    </xf>
    <xf numFmtId="176" fontId="2" fillId="0" borderId="73" xfId="0" applyNumberFormat="1" applyFont="1" applyFill="1" applyBorder="1" applyAlignment="1">
      <alignment horizontal="right"/>
    </xf>
    <xf numFmtId="176" fontId="2" fillId="0" borderId="17" xfId="0" applyNumberFormat="1" applyFont="1" applyFill="1" applyBorder="1" applyAlignment="1">
      <alignment horizontal="right"/>
    </xf>
    <xf numFmtId="176" fontId="2" fillId="0" borderId="60" xfId="17" applyNumberFormat="1" applyFont="1" applyFill="1" applyBorder="1" applyAlignment="1">
      <alignment wrapText="1"/>
    </xf>
    <xf numFmtId="176" fontId="2" fillId="0" borderId="61" xfId="17" applyNumberFormat="1" applyFont="1" applyFill="1" applyBorder="1" applyAlignment="1">
      <alignment wrapText="1"/>
    </xf>
    <xf numFmtId="0" fontId="0" fillId="0" borderId="48" xfId="0" applyFill="1" applyBorder="1" applyAlignment="1">
      <alignment vertical="center"/>
    </xf>
    <xf numFmtId="176" fontId="2" fillId="0" borderId="74" xfId="17" applyNumberFormat="1" applyFont="1" applyFill="1" applyBorder="1" applyAlignment="1">
      <alignment wrapText="1"/>
    </xf>
    <xf numFmtId="0" fontId="7" fillId="0" borderId="65" xfId="0" applyFont="1" applyFill="1" applyBorder="1" applyAlignment="1">
      <alignment vertical="center" wrapText="1"/>
    </xf>
    <xf numFmtId="176" fontId="2" fillId="0" borderId="75" xfId="17" applyNumberFormat="1" applyFont="1" applyFill="1" applyBorder="1" applyAlignment="1">
      <alignment wrapText="1"/>
    </xf>
    <xf numFmtId="176" fontId="2" fillId="0" borderId="70" xfId="17" applyNumberFormat="1" applyFont="1" applyFill="1" applyBorder="1" applyAlignment="1">
      <alignment wrapText="1"/>
    </xf>
    <xf numFmtId="176" fontId="2" fillId="0" borderId="76" xfId="17" applyNumberFormat="1" applyFont="1" applyFill="1" applyBorder="1" applyAlignment="1">
      <alignment wrapText="1"/>
    </xf>
    <xf numFmtId="176" fontId="2" fillId="0" borderId="21" xfId="17" applyNumberFormat="1" applyFont="1" applyFill="1" applyBorder="1" applyAlignment="1">
      <alignment wrapText="1"/>
    </xf>
    <xf numFmtId="176" fontId="2" fillId="0" borderId="15" xfId="17" applyNumberFormat="1" applyFont="1" applyFill="1" applyBorder="1" applyAlignment="1">
      <alignment wrapText="1"/>
    </xf>
    <xf numFmtId="176" fontId="2" fillId="0" borderId="49" xfId="17" applyNumberFormat="1" applyFont="1" applyFill="1" applyBorder="1" applyAlignment="1">
      <alignment wrapText="1"/>
    </xf>
    <xf numFmtId="176" fontId="2" fillId="0" borderId="13" xfId="17" applyNumberFormat="1" applyFont="1" applyFill="1" applyBorder="1" applyAlignment="1">
      <alignment wrapText="1"/>
    </xf>
    <xf numFmtId="176" fontId="2" fillId="0" borderId="11" xfId="17" applyNumberFormat="1" applyFont="1" applyFill="1" applyBorder="1" applyAlignment="1">
      <alignment wrapText="1"/>
    </xf>
    <xf numFmtId="176" fontId="2" fillId="0" borderId="50" xfId="17" applyNumberFormat="1" applyFont="1" applyFill="1" applyBorder="1" applyAlignment="1">
      <alignment wrapText="1"/>
    </xf>
    <xf numFmtId="176" fontId="2" fillId="0" borderId="77" xfId="17" applyNumberFormat="1" applyFont="1" applyFill="1" applyBorder="1" applyAlignment="1">
      <alignment wrapText="1"/>
    </xf>
    <xf numFmtId="176" fontId="2" fillId="0" borderId="78" xfId="17" applyNumberFormat="1" applyFont="1" applyFill="1" applyBorder="1" applyAlignment="1">
      <alignment wrapText="1"/>
    </xf>
    <xf numFmtId="0" fontId="7" fillId="0" borderId="72" xfId="0" applyFont="1" applyFill="1" applyBorder="1" applyAlignment="1">
      <alignment vertical="center" wrapText="1"/>
    </xf>
    <xf numFmtId="176" fontId="2" fillId="0" borderId="79" xfId="17" applyNumberFormat="1" applyFont="1" applyFill="1" applyBorder="1" applyAlignment="1">
      <alignment/>
    </xf>
    <xf numFmtId="176" fontId="2" fillId="0" borderId="80" xfId="17" applyNumberFormat="1" applyFont="1" applyFill="1" applyBorder="1" applyAlignment="1">
      <alignment/>
    </xf>
    <xf numFmtId="176" fontId="2" fillId="0" borderId="5" xfId="17" applyNumberFormat="1" applyFont="1" applyFill="1" applyBorder="1" applyAlignment="1">
      <alignment wrapText="1"/>
    </xf>
    <xf numFmtId="176" fontId="2" fillId="0" borderId="9" xfId="17" applyNumberFormat="1" applyFont="1" applyFill="1" applyBorder="1" applyAlignment="1">
      <alignment wrapText="1"/>
    </xf>
    <xf numFmtId="176" fontId="2" fillId="0" borderId="7" xfId="17" applyNumberFormat="1" applyFont="1" applyFill="1" applyBorder="1" applyAlignment="1">
      <alignment wrapText="1"/>
    </xf>
    <xf numFmtId="176" fontId="2" fillId="0" borderId="65" xfId="17" applyNumberFormat="1" applyFont="1" applyFill="1" applyBorder="1" applyAlignment="1">
      <alignment wrapText="1"/>
    </xf>
    <xf numFmtId="176" fontId="2" fillId="0" borderId="12" xfId="17" applyNumberFormat="1" applyFont="1" applyFill="1" applyBorder="1" applyAlignment="1">
      <alignment/>
    </xf>
    <xf numFmtId="0" fontId="7" fillId="0" borderId="24" xfId="0" applyFont="1" applyFill="1" applyBorder="1" applyAlignment="1">
      <alignment horizontal="center" vertical="center" wrapText="1"/>
    </xf>
    <xf numFmtId="176" fontId="7" fillId="0" borderId="25" xfId="0" applyNumberFormat="1" applyFont="1" applyFill="1" applyBorder="1" applyAlignment="1">
      <alignment horizontal="center" vertical="center" wrapText="1"/>
    </xf>
    <xf numFmtId="176" fontId="7" fillId="0" borderId="81" xfId="0" applyNumberFormat="1" applyFont="1" applyFill="1" applyBorder="1" applyAlignment="1">
      <alignment horizontal="center" vertical="center" wrapText="1"/>
    </xf>
    <xf numFmtId="176" fontId="2" fillId="0" borderId="82" xfId="17" applyNumberFormat="1" applyFont="1" applyFill="1" applyBorder="1" applyAlignment="1">
      <alignment/>
    </xf>
    <xf numFmtId="176" fontId="2" fillId="0" borderId="83" xfId="17" applyNumberFormat="1" applyFont="1" applyFill="1" applyBorder="1" applyAlignment="1">
      <alignment/>
    </xf>
    <xf numFmtId="176" fontId="2" fillId="0" borderId="64" xfId="17" applyNumberFormat="1" applyFont="1" applyFill="1" applyBorder="1" applyAlignment="1">
      <alignment/>
    </xf>
    <xf numFmtId="176" fontId="2" fillId="0" borderId="84" xfId="17" applyNumberFormat="1" applyFont="1" applyFill="1" applyBorder="1" applyAlignment="1">
      <alignment/>
    </xf>
    <xf numFmtId="0" fontId="0" fillId="0" borderId="0" xfId="0" applyFill="1" applyAlignment="1">
      <alignment horizontal="center"/>
    </xf>
    <xf numFmtId="38" fontId="0" fillId="0" borderId="13" xfId="17" applyFill="1" applyBorder="1" applyAlignment="1">
      <alignment/>
    </xf>
    <xf numFmtId="38" fontId="0" fillId="0" borderId="13" xfId="17" applyFont="1" applyFill="1" applyBorder="1" applyAlignment="1">
      <alignment/>
    </xf>
    <xf numFmtId="38" fontId="0" fillId="0" borderId="13" xfId="17" applyFill="1" applyBorder="1" applyAlignment="1">
      <alignment vertical="center"/>
    </xf>
    <xf numFmtId="38" fontId="2" fillId="0" borderId="0" xfId="17" applyFont="1" applyFill="1" applyAlignment="1">
      <alignment vertical="center"/>
    </xf>
    <xf numFmtId="176" fontId="2" fillId="0" borderId="52" xfId="17" applyNumberFormat="1" applyFont="1" applyFill="1" applyBorder="1" applyAlignment="1">
      <alignment horizontal="right" wrapText="1"/>
    </xf>
    <xf numFmtId="176" fontId="2" fillId="0" borderId="85" xfId="17" applyNumberFormat="1" applyFont="1" applyFill="1" applyBorder="1" applyAlignment="1">
      <alignment horizontal="right" wrapText="1"/>
    </xf>
    <xf numFmtId="0" fontId="7" fillId="0" borderId="86" xfId="0" applyFont="1" applyFill="1" applyBorder="1" applyAlignment="1">
      <alignment vertical="center" wrapText="1"/>
    </xf>
    <xf numFmtId="0" fontId="0" fillId="0" borderId="86" xfId="0" applyFill="1" applyBorder="1" applyAlignment="1">
      <alignment vertical="center"/>
    </xf>
    <xf numFmtId="0" fontId="0" fillId="0" borderId="5" xfId="0" applyFill="1" applyBorder="1" applyAlignment="1">
      <alignment vertical="center"/>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xf>
    <xf numFmtId="0" fontId="7" fillId="0" borderId="15" xfId="0" applyFont="1" applyFill="1" applyBorder="1" applyAlignment="1">
      <alignment vertical="center" wrapText="1"/>
    </xf>
    <xf numFmtId="0" fontId="7" fillId="0" borderId="61" xfId="0" applyFont="1" applyFill="1" applyBorder="1" applyAlignment="1">
      <alignment vertical="center" wrapText="1"/>
    </xf>
    <xf numFmtId="0" fontId="0" fillId="0" borderId="47" xfId="0" applyFill="1" applyBorder="1" applyAlignment="1">
      <alignment vertical="center"/>
    </xf>
    <xf numFmtId="0" fontId="7" fillId="0" borderId="87" xfId="0" applyFont="1" applyFill="1" applyBorder="1" applyAlignment="1">
      <alignment horizontal="center" vertical="center" wrapText="1"/>
    </xf>
    <xf numFmtId="0" fontId="7" fillId="0" borderId="88" xfId="0" applyFont="1" applyFill="1" applyBorder="1" applyAlignment="1">
      <alignment horizontal="center" vertical="center" wrapText="1"/>
    </xf>
    <xf numFmtId="176" fontId="7" fillId="0" borderId="73" xfId="0" applyNumberFormat="1" applyFont="1" applyFill="1" applyBorder="1" applyAlignment="1">
      <alignment horizontal="center" vertical="center"/>
    </xf>
    <xf numFmtId="0" fontId="7" fillId="0" borderId="89" xfId="0" applyFont="1" applyFill="1" applyBorder="1" applyAlignment="1">
      <alignment horizontal="center" vertical="center" wrapText="1"/>
    </xf>
    <xf numFmtId="0" fontId="7" fillId="0" borderId="90" xfId="0" applyFont="1" applyFill="1" applyBorder="1" applyAlignment="1">
      <alignment horizontal="center" vertical="center" wrapText="1"/>
    </xf>
    <xf numFmtId="176" fontId="7" fillId="0" borderId="91" xfId="0" applyNumberFormat="1" applyFont="1" applyFill="1" applyBorder="1" applyAlignment="1">
      <alignment vertical="center"/>
    </xf>
    <xf numFmtId="0" fontId="7" fillId="0" borderId="92" xfId="0" applyFont="1" applyFill="1" applyBorder="1" applyAlignment="1">
      <alignment vertical="center" wrapText="1"/>
    </xf>
    <xf numFmtId="176" fontId="2" fillId="0" borderId="93" xfId="17" applyNumberFormat="1" applyFont="1" applyFill="1" applyBorder="1" applyAlignment="1">
      <alignment/>
    </xf>
    <xf numFmtId="176" fontId="9" fillId="0" borderId="72" xfId="17" applyNumberFormat="1" applyFont="1" applyFill="1" applyBorder="1" applyAlignment="1">
      <alignment/>
    </xf>
    <xf numFmtId="176" fontId="9" fillId="0" borderId="50" xfId="17" applyNumberFormat="1" applyFont="1" applyFill="1" applyBorder="1" applyAlignment="1">
      <alignment/>
    </xf>
    <xf numFmtId="176" fontId="9" fillId="0" borderId="81" xfId="17" applyNumberFormat="1" applyFont="1" applyFill="1" applyBorder="1" applyAlignment="1">
      <alignment/>
    </xf>
    <xf numFmtId="0" fontId="10" fillId="0" borderId="0" xfId="0" applyFont="1" applyFill="1" applyAlignment="1">
      <alignment horizontal="center"/>
    </xf>
    <xf numFmtId="38" fontId="2" fillId="0" borderId="60" xfId="17" applyFont="1" applyFill="1" applyBorder="1" applyAlignment="1">
      <alignment horizontal="right" wrapText="1"/>
    </xf>
    <xf numFmtId="0" fontId="0" fillId="0" borderId="83" xfId="0" applyBorder="1" applyAlignment="1">
      <alignment horizontal="center" vertical="center"/>
    </xf>
    <xf numFmtId="176" fontId="2" fillId="0" borderId="21" xfId="0" applyNumberFormat="1" applyFont="1" applyFill="1" applyBorder="1" applyAlignment="1">
      <alignment horizontal="right" wrapText="1"/>
    </xf>
    <xf numFmtId="176" fontId="2" fillId="0" borderId="72" xfId="0" applyNumberFormat="1" applyFont="1" applyFill="1" applyBorder="1" applyAlignment="1">
      <alignment horizontal="right" wrapText="1"/>
    </xf>
    <xf numFmtId="0" fontId="0" fillId="0" borderId="21" xfId="0" applyFill="1" applyBorder="1" applyAlignment="1">
      <alignment vertical="center"/>
    </xf>
    <xf numFmtId="0" fontId="7" fillId="0" borderId="94" xfId="0" applyFont="1" applyFill="1" applyBorder="1" applyAlignment="1">
      <alignment vertical="center" wrapText="1"/>
    </xf>
    <xf numFmtId="0" fontId="0" fillId="0" borderId="33" xfId="0" applyFill="1" applyBorder="1" applyAlignment="1">
      <alignment vertical="center"/>
    </xf>
    <xf numFmtId="176" fontId="2" fillId="0" borderId="95" xfId="17" applyNumberFormat="1" applyFont="1" applyFill="1" applyBorder="1" applyAlignment="1">
      <alignment/>
    </xf>
    <xf numFmtId="0" fontId="7" fillId="0" borderId="63" xfId="0" applyFont="1" applyFill="1" applyBorder="1" applyAlignment="1">
      <alignment vertical="center" textRotation="255"/>
    </xf>
    <xf numFmtId="0" fontId="0" fillId="0" borderId="52" xfId="0" applyBorder="1" applyAlignment="1">
      <alignment horizontal="center" vertical="center"/>
    </xf>
    <xf numFmtId="0" fontId="0" fillId="0" borderId="40" xfId="0" applyBorder="1" applyAlignment="1">
      <alignment horizontal="center" vertical="center"/>
    </xf>
    <xf numFmtId="0" fontId="0" fillId="0" borderId="96" xfId="0" applyBorder="1" applyAlignment="1">
      <alignment horizontal="center" vertical="center"/>
    </xf>
    <xf numFmtId="0" fontId="0" fillId="0" borderId="39" xfId="0" applyBorder="1" applyAlignment="1">
      <alignment horizontal="center" vertical="center"/>
    </xf>
    <xf numFmtId="0" fontId="0" fillId="0" borderId="39" xfId="0" applyFill="1" applyBorder="1" applyAlignment="1">
      <alignment horizontal="center" vertical="center"/>
    </xf>
    <xf numFmtId="0" fontId="0" fillId="0" borderId="42" xfId="0" applyFill="1" applyBorder="1" applyAlignment="1">
      <alignment horizontal="center" vertical="center"/>
    </xf>
    <xf numFmtId="0" fontId="0" fillId="0" borderId="97" xfId="0" applyBorder="1" applyAlignment="1">
      <alignment horizontal="center"/>
    </xf>
    <xf numFmtId="0" fontId="0" fillId="0" borderId="21" xfId="0" applyBorder="1" applyAlignment="1">
      <alignment/>
    </xf>
    <xf numFmtId="176" fontId="12" fillId="0" borderId="98" xfId="17" applyNumberFormat="1" applyFont="1" applyBorder="1" applyAlignment="1">
      <alignment horizontal="right"/>
    </xf>
    <xf numFmtId="0" fontId="0" fillId="0" borderId="20" xfId="0" applyBorder="1" applyAlignment="1">
      <alignment horizontal="center"/>
    </xf>
    <xf numFmtId="176" fontId="12" fillId="0" borderId="98" xfId="17" applyNumberFormat="1" applyFont="1" applyBorder="1" applyAlignment="1" quotePrefix="1">
      <alignment horizontal="right"/>
    </xf>
    <xf numFmtId="38" fontId="0" fillId="0" borderId="20" xfId="17" applyFont="1" applyBorder="1" applyAlignment="1">
      <alignment horizontal="center"/>
    </xf>
    <xf numFmtId="176" fontId="12" fillId="0" borderId="49" xfId="17" applyNumberFormat="1" applyFont="1" applyBorder="1" applyAlignment="1">
      <alignment horizontal="right"/>
    </xf>
    <xf numFmtId="0" fontId="0" fillId="0" borderId="56" xfId="0" applyBorder="1" applyAlignment="1">
      <alignment horizontal="center"/>
    </xf>
    <xf numFmtId="0" fontId="0" fillId="0" borderId="33" xfId="0" applyBorder="1" applyAlignment="1">
      <alignment/>
    </xf>
    <xf numFmtId="38" fontId="12" fillId="0" borderId="99" xfId="17" applyFont="1" applyBorder="1" applyAlignment="1" quotePrefix="1">
      <alignment horizontal="right"/>
    </xf>
    <xf numFmtId="0" fontId="0" fillId="0" borderId="100" xfId="0" applyBorder="1" applyAlignment="1">
      <alignment horizontal="center"/>
    </xf>
    <xf numFmtId="38" fontId="12" fillId="0" borderId="101" xfId="17" applyFont="1" applyBorder="1" applyAlignment="1" quotePrefix="1">
      <alignment horizontal="right"/>
    </xf>
    <xf numFmtId="0" fontId="0" fillId="0" borderId="32" xfId="0" applyBorder="1" applyAlignment="1">
      <alignment horizontal="center"/>
    </xf>
    <xf numFmtId="0" fontId="12" fillId="0" borderId="43" xfId="0" applyFont="1" applyBorder="1" applyAlignment="1" quotePrefix="1">
      <alignment horizontal="right"/>
    </xf>
    <xf numFmtId="0" fontId="0" fillId="0" borderId="52" xfId="0" applyBorder="1" applyAlignment="1">
      <alignment horizontal="center"/>
    </xf>
    <xf numFmtId="0" fontId="0" fillId="0" borderId="40" xfId="0" applyBorder="1" applyAlignment="1">
      <alignment vertical="center"/>
    </xf>
    <xf numFmtId="176" fontId="12" fillId="0" borderId="96" xfId="17" applyNumberFormat="1" applyFont="1" applyBorder="1" applyAlignment="1">
      <alignment horizontal="right"/>
    </xf>
    <xf numFmtId="0" fontId="0" fillId="0" borderId="82" xfId="0" applyBorder="1" applyAlignment="1">
      <alignment horizontal="center"/>
    </xf>
    <xf numFmtId="0" fontId="0" fillId="0" borderId="39" xfId="0" applyBorder="1" applyAlignment="1">
      <alignment horizontal="center"/>
    </xf>
    <xf numFmtId="176" fontId="12" fillId="0" borderId="42" xfId="17" applyNumberFormat="1" applyFont="1" applyBorder="1" applyAlignment="1">
      <alignment horizontal="right"/>
    </xf>
    <xf numFmtId="0" fontId="13" fillId="0" borderId="0" xfId="0" applyFont="1" applyFill="1" applyBorder="1" applyAlignment="1">
      <alignment vertical="center"/>
    </xf>
    <xf numFmtId="0" fontId="0" fillId="0" borderId="0" xfId="0" applyAlignment="1">
      <alignment horizontal="right" vertical="top"/>
    </xf>
    <xf numFmtId="0" fontId="0" fillId="0" borderId="45" xfId="0" applyBorder="1" applyAlignment="1">
      <alignment horizontal="center"/>
    </xf>
    <xf numFmtId="176" fontId="12" fillId="0" borderId="102" xfId="17" applyNumberFormat="1" applyFont="1" applyBorder="1" applyAlignment="1">
      <alignment horizontal="right"/>
    </xf>
    <xf numFmtId="38" fontId="12" fillId="0" borderId="102" xfId="17" applyFont="1" applyBorder="1" applyAlignment="1">
      <alignment horizontal="right"/>
    </xf>
    <xf numFmtId="38" fontId="0" fillId="0" borderId="103" xfId="17" applyFont="1" applyBorder="1" applyAlignment="1">
      <alignment horizontal="center"/>
    </xf>
    <xf numFmtId="176" fontId="12" fillId="0" borderId="54" xfId="17" applyNumberFormat="1" applyFont="1" applyBorder="1" applyAlignment="1">
      <alignment horizontal="right"/>
    </xf>
    <xf numFmtId="38" fontId="12" fillId="0" borderId="99" xfId="17" applyFont="1" applyBorder="1" applyAlignment="1">
      <alignment/>
    </xf>
    <xf numFmtId="176" fontId="12" fillId="0" borderId="50" xfId="17" applyNumberFormat="1" applyFont="1" applyBorder="1" applyAlignment="1" quotePrefix="1">
      <alignment horizontal="right"/>
    </xf>
    <xf numFmtId="38" fontId="12" fillId="0" borderId="96" xfId="17" applyFont="1" applyBorder="1" applyAlignment="1">
      <alignment horizontal="right"/>
    </xf>
    <xf numFmtId="176" fontId="12" fillId="0" borderId="42" xfId="0" applyNumberFormat="1" applyFont="1" applyBorder="1" applyAlignment="1">
      <alignment horizontal="right"/>
    </xf>
    <xf numFmtId="176" fontId="0" fillId="0" borderId="0" xfId="17" applyNumberFormat="1" applyFont="1" applyBorder="1" applyAlignment="1">
      <alignment horizontal="right"/>
    </xf>
    <xf numFmtId="38" fontId="0" fillId="0" borderId="0" xfId="17" applyFont="1" applyBorder="1" applyAlignment="1">
      <alignment/>
    </xf>
    <xf numFmtId="38" fontId="0" fillId="0" borderId="0" xfId="17" applyBorder="1" applyAlignment="1">
      <alignment/>
    </xf>
    <xf numFmtId="0" fontId="0" fillId="0" borderId="54"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94" xfId="0" applyBorder="1" applyAlignment="1">
      <alignment horizontal="center" vertical="center"/>
    </xf>
    <xf numFmtId="0" fontId="0" fillId="0" borderId="20" xfId="0" applyBorder="1" applyAlignment="1">
      <alignment horizontal="right" vertical="center"/>
    </xf>
    <xf numFmtId="0" fontId="0" fillId="0" borderId="21" xfId="0" applyFill="1" applyBorder="1" applyAlignment="1">
      <alignment horizontal="right" vertical="center"/>
    </xf>
    <xf numFmtId="0" fontId="0" fillId="0" borderId="106" xfId="0" applyFill="1" applyBorder="1" applyAlignment="1">
      <alignment horizontal="right" vertical="center"/>
    </xf>
    <xf numFmtId="0" fontId="0" fillId="0" borderId="107" xfId="0" applyFill="1" applyBorder="1" applyAlignment="1">
      <alignment horizontal="right" vertical="center"/>
    </xf>
    <xf numFmtId="0" fontId="0" fillId="0" borderId="49" xfId="0" applyBorder="1" applyAlignment="1">
      <alignment horizontal="right" vertical="center"/>
    </xf>
    <xf numFmtId="0" fontId="0" fillId="0" borderId="33" xfId="0" applyBorder="1" applyAlignment="1">
      <alignment horizontal="right" vertical="center"/>
    </xf>
    <xf numFmtId="0" fontId="0" fillId="0" borderId="33" xfId="0" applyFill="1" applyBorder="1" applyAlignment="1">
      <alignment horizontal="right" vertical="center"/>
    </xf>
    <xf numFmtId="0" fontId="0" fillId="0" borderId="108" xfId="0" applyFill="1" applyBorder="1" applyAlignment="1">
      <alignment horizontal="right" vertical="center"/>
    </xf>
    <xf numFmtId="0" fontId="0" fillId="0" borderId="109" xfId="0" applyFill="1" applyBorder="1" applyAlignment="1">
      <alignment horizontal="right" vertical="center"/>
    </xf>
    <xf numFmtId="0" fontId="0" fillId="0" borderId="43" xfId="0" applyBorder="1" applyAlignment="1">
      <alignment horizontal="right" vertical="center"/>
    </xf>
    <xf numFmtId="0" fontId="0" fillId="0" borderId="25" xfId="0" applyBorder="1" applyAlignment="1">
      <alignment horizontal="right" vertical="center"/>
    </xf>
    <xf numFmtId="0" fontId="0" fillId="0" borderId="25" xfId="0" applyFill="1" applyBorder="1" applyAlignment="1">
      <alignment horizontal="right" vertical="center"/>
    </xf>
    <xf numFmtId="0" fontId="0" fillId="0" borderId="104" xfId="0" applyFill="1" applyBorder="1" applyAlignment="1">
      <alignment horizontal="right" vertical="center"/>
    </xf>
    <xf numFmtId="0" fontId="0" fillId="0" borderId="105" xfId="0" applyFill="1" applyBorder="1" applyAlignment="1">
      <alignment horizontal="right" vertical="center"/>
    </xf>
    <xf numFmtId="0" fontId="0" fillId="0" borderId="81" xfId="0" applyBorder="1" applyAlignment="1">
      <alignment horizontal="right" vertical="center"/>
    </xf>
    <xf numFmtId="0" fontId="0" fillId="0" borderId="83" xfId="0" applyBorder="1" applyAlignment="1">
      <alignment horizontal="right" vertical="center"/>
    </xf>
    <xf numFmtId="0" fontId="0" fillId="0" borderId="83" xfId="0" applyFill="1" applyBorder="1" applyAlignment="1">
      <alignment horizontal="right" vertical="center"/>
    </xf>
    <xf numFmtId="0" fontId="0" fillId="0" borderId="110" xfId="0" applyFill="1" applyBorder="1" applyAlignment="1">
      <alignment horizontal="right" vertical="center"/>
    </xf>
    <xf numFmtId="0" fontId="0" fillId="0" borderId="111" xfId="0" applyFill="1" applyBorder="1" applyAlignment="1">
      <alignment horizontal="right" vertical="center"/>
    </xf>
    <xf numFmtId="0" fontId="0" fillId="0" borderId="94" xfId="0" applyBorder="1" applyAlignment="1">
      <alignment horizontal="right" vertical="center"/>
    </xf>
    <xf numFmtId="0" fontId="0" fillId="0" borderId="88" xfId="0" applyFill="1" applyBorder="1" applyAlignment="1">
      <alignment horizontal="right" vertical="center"/>
    </xf>
    <xf numFmtId="0" fontId="6" fillId="0" borderId="0" xfId="0" applyFont="1" applyAlignment="1">
      <alignment vertical="center"/>
    </xf>
    <xf numFmtId="176" fontId="2" fillId="0" borderId="52" xfId="17" applyNumberFormat="1" applyFont="1" applyFill="1" applyBorder="1" applyAlignment="1">
      <alignment/>
    </xf>
    <xf numFmtId="176" fontId="2" fillId="0" borderId="96" xfId="17" applyNumberFormat="1" applyFont="1" applyFill="1" applyBorder="1" applyAlignment="1">
      <alignment/>
    </xf>
    <xf numFmtId="0" fontId="7" fillId="0" borderId="56" xfId="0" applyFont="1" applyFill="1" applyBorder="1" applyAlignment="1">
      <alignment vertical="center"/>
    </xf>
    <xf numFmtId="176" fontId="2" fillId="0" borderId="52" xfId="17" applyNumberFormat="1" applyFont="1" applyFill="1" applyBorder="1" applyAlignment="1">
      <alignment wrapText="1"/>
    </xf>
    <xf numFmtId="176" fontId="2" fillId="0" borderId="66" xfId="17" applyNumberFormat="1" applyFont="1" applyFill="1" applyBorder="1" applyAlignment="1">
      <alignment/>
    </xf>
    <xf numFmtId="0" fontId="0" fillId="0" borderId="37" xfId="0" applyFill="1" applyBorder="1" applyAlignment="1">
      <alignment vertical="center"/>
    </xf>
    <xf numFmtId="0" fontId="0" fillId="0" borderId="66" xfId="0" applyFill="1" applyBorder="1" applyAlignment="1">
      <alignment vertical="center"/>
    </xf>
    <xf numFmtId="0" fontId="0" fillId="0" borderId="67" xfId="0" applyFill="1" applyBorder="1" applyAlignment="1">
      <alignment vertical="center"/>
    </xf>
    <xf numFmtId="176" fontId="2" fillId="0" borderId="67" xfId="17" applyNumberFormat="1" applyFont="1" applyFill="1" applyBorder="1" applyAlignment="1">
      <alignment/>
    </xf>
    <xf numFmtId="0" fontId="0" fillId="0" borderId="39" xfId="0" applyFill="1" applyBorder="1" applyAlignment="1">
      <alignment vertical="center"/>
    </xf>
    <xf numFmtId="176" fontId="2" fillId="0" borderId="31" xfId="17" applyNumberFormat="1" applyFont="1" applyFill="1" applyBorder="1" applyAlignment="1">
      <alignment wrapText="1"/>
    </xf>
    <xf numFmtId="0" fontId="0" fillId="0" borderId="20" xfId="0" applyFill="1" applyBorder="1" applyAlignment="1">
      <alignment vertical="center"/>
    </xf>
    <xf numFmtId="176" fontId="2" fillId="0" borderId="24" xfId="17" applyNumberFormat="1" applyFont="1" applyFill="1" applyBorder="1" applyAlignment="1">
      <alignment wrapText="1"/>
    </xf>
    <xf numFmtId="0" fontId="0" fillId="0" borderId="40" xfId="0" applyFill="1" applyBorder="1" applyAlignment="1">
      <alignment vertical="center"/>
    </xf>
    <xf numFmtId="176" fontId="2" fillId="0" borderId="25" xfId="17" applyNumberFormat="1" applyFont="1" applyFill="1" applyBorder="1" applyAlignment="1">
      <alignment wrapText="1"/>
    </xf>
    <xf numFmtId="0" fontId="0" fillId="0" borderId="12" xfId="0" applyFill="1" applyBorder="1" applyAlignment="1">
      <alignment vertical="center"/>
    </xf>
    <xf numFmtId="176" fontId="9" fillId="0" borderId="66" xfId="17" applyNumberFormat="1" applyFont="1" applyFill="1" applyBorder="1" applyAlignment="1">
      <alignment/>
    </xf>
    <xf numFmtId="0" fontId="0" fillId="0" borderId="15" xfId="0" applyFill="1" applyBorder="1" applyAlignment="1">
      <alignment vertical="center"/>
    </xf>
    <xf numFmtId="176" fontId="9" fillId="0" borderId="15" xfId="17" applyNumberFormat="1" applyFont="1" applyFill="1" applyBorder="1" applyAlignment="1">
      <alignment/>
    </xf>
    <xf numFmtId="176" fontId="9" fillId="0" borderId="0" xfId="17" applyNumberFormat="1" applyFont="1" applyFill="1" applyBorder="1" applyAlignment="1">
      <alignment/>
    </xf>
    <xf numFmtId="176" fontId="9" fillId="0" borderId="67" xfId="17" applyNumberFormat="1" applyFont="1" applyFill="1" applyBorder="1" applyAlignment="1">
      <alignment/>
    </xf>
    <xf numFmtId="176" fontId="2" fillId="0" borderId="81" xfId="17" applyNumberFormat="1" applyFont="1" applyFill="1" applyBorder="1" applyAlignment="1">
      <alignment wrapText="1"/>
    </xf>
    <xf numFmtId="176" fontId="2" fillId="0" borderId="14" xfId="17" applyNumberFormat="1" applyFont="1" applyFill="1" applyBorder="1" applyAlignment="1">
      <alignment wrapText="1"/>
    </xf>
    <xf numFmtId="176" fontId="2" fillId="0" borderId="17" xfId="17" applyNumberFormat="1" applyFont="1" applyFill="1" applyBorder="1" applyAlignment="1">
      <alignment wrapText="1"/>
    </xf>
    <xf numFmtId="176" fontId="2" fillId="0" borderId="19" xfId="17" applyNumberFormat="1" applyFont="1" applyFill="1" applyBorder="1" applyAlignment="1">
      <alignment wrapText="1"/>
    </xf>
    <xf numFmtId="176" fontId="2" fillId="0" borderId="30" xfId="17" applyNumberFormat="1" applyFont="1" applyFill="1" applyBorder="1" applyAlignment="1">
      <alignment/>
    </xf>
    <xf numFmtId="176" fontId="2" fillId="0" borderId="18" xfId="17" applyNumberFormat="1" applyFont="1" applyFill="1" applyBorder="1" applyAlignment="1">
      <alignment/>
    </xf>
    <xf numFmtId="176" fontId="2" fillId="0" borderId="77" xfId="17" applyNumberFormat="1" applyFont="1" applyFill="1" applyBorder="1" applyAlignment="1">
      <alignment/>
    </xf>
    <xf numFmtId="176" fontId="2" fillId="0" borderId="39" xfId="17" applyNumberFormat="1" applyFont="1" applyFill="1" applyBorder="1" applyAlignment="1">
      <alignment wrapText="1"/>
    </xf>
    <xf numFmtId="176" fontId="2" fillId="0" borderId="78" xfId="17" applyNumberFormat="1" applyFont="1" applyFill="1" applyBorder="1" applyAlignment="1">
      <alignment/>
    </xf>
    <xf numFmtId="176" fontId="2" fillId="0" borderId="74" xfId="17" applyNumberFormat="1" applyFont="1" applyFill="1" applyBorder="1" applyAlignment="1">
      <alignment/>
    </xf>
    <xf numFmtId="38" fontId="0" fillId="0" borderId="0" xfId="17" applyFont="1" applyFill="1" applyBorder="1" applyAlignment="1">
      <alignment/>
    </xf>
    <xf numFmtId="0" fontId="0" fillId="0" borderId="17" xfId="0" applyFill="1" applyBorder="1" applyAlignment="1">
      <alignment vertical="center"/>
    </xf>
    <xf numFmtId="38" fontId="0" fillId="0" borderId="53" xfId="17" applyFont="1" applyFill="1" applyBorder="1" applyAlignment="1">
      <alignment/>
    </xf>
    <xf numFmtId="38" fontId="0" fillId="0" borderId="17" xfId="17" applyFont="1" applyFill="1" applyBorder="1" applyAlignment="1">
      <alignment/>
    </xf>
    <xf numFmtId="38" fontId="0" fillId="0" borderId="0" xfId="17" applyFill="1" applyBorder="1" applyAlignment="1">
      <alignment/>
    </xf>
    <xf numFmtId="0" fontId="0" fillId="0" borderId="29" xfId="0" applyFill="1" applyBorder="1" applyAlignment="1">
      <alignment vertical="center"/>
    </xf>
    <xf numFmtId="176" fontId="0" fillId="0" borderId="13" xfId="0" applyNumberFormat="1" applyFill="1" applyBorder="1" applyAlignment="1">
      <alignment vertical="center"/>
    </xf>
    <xf numFmtId="0" fontId="0" fillId="0" borderId="57" xfId="0" applyFill="1" applyBorder="1" applyAlignment="1">
      <alignment vertical="center"/>
    </xf>
    <xf numFmtId="176" fontId="9" fillId="0" borderId="80" xfId="17" applyNumberFormat="1" applyFont="1" applyFill="1" applyBorder="1" applyAlignment="1">
      <alignment/>
    </xf>
    <xf numFmtId="0" fontId="7" fillId="0" borderId="5" xfId="0" applyFont="1" applyFill="1" applyBorder="1" applyAlignment="1">
      <alignment vertical="center"/>
    </xf>
    <xf numFmtId="0" fontId="0" fillId="0" borderId="0" xfId="0" applyFill="1" applyBorder="1" applyAlignment="1">
      <alignment horizontal="center" shrinkToFit="1"/>
    </xf>
    <xf numFmtId="0" fontId="0" fillId="0" borderId="0" xfId="0" applyFill="1" applyBorder="1" applyAlignment="1">
      <alignment horizontal="center"/>
    </xf>
    <xf numFmtId="0" fontId="7" fillId="0" borderId="112" xfId="0" applyFont="1" applyFill="1" applyBorder="1" applyAlignment="1">
      <alignment vertical="center" wrapText="1"/>
    </xf>
    <xf numFmtId="0" fontId="7" fillId="0" borderId="113" xfId="0" applyFont="1" applyFill="1" applyBorder="1" applyAlignment="1">
      <alignment vertical="center" wrapText="1"/>
    </xf>
    <xf numFmtId="176" fontId="2" fillId="0" borderId="63" xfId="17" applyNumberFormat="1" applyFont="1" applyFill="1" applyBorder="1" applyAlignment="1">
      <alignment wrapText="1"/>
    </xf>
    <xf numFmtId="176" fontId="2" fillId="0" borderId="83" xfId="17" applyNumberFormat="1" applyFont="1" applyFill="1" applyBorder="1" applyAlignment="1">
      <alignment wrapText="1"/>
    </xf>
    <xf numFmtId="176" fontId="2" fillId="0" borderId="114" xfId="17" applyNumberFormat="1" applyFont="1" applyFill="1" applyBorder="1" applyAlignment="1">
      <alignment/>
    </xf>
    <xf numFmtId="176" fontId="2" fillId="0" borderId="115" xfId="17" applyNumberFormat="1" applyFont="1" applyFill="1" applyBorder="1" applyAlignment="1">
      <alignment wrapText="1"/>
    </xf>
    <xf numFmtId="176" fontId="2" fillId="0" borderId="115" xfId="17" applyNumberFormat="1" applyFont="1" applyFill="1" applyBorder="1" applyAlignment="1">
      <alignment/>
    </xf>
    <xf numFmtId="176" fontId="2" fillId="0" borderId="94" xfId="17" applyNumberFormat="1" applyFont="1" applyFill="1" applyBorder="1" applyAlignment="1">
      <alignment/>
    </xf>
    <xf numFmtId="176" fontId="2" fillId="0" borderId="116" xfId="17" applyNumberFormat="1" applyFont="1" applyFill="1" applyBorder="1" applyAlignment="1">
      <alignment/>
    </xf>
    <xf numFmtId="0" fontId="0" fillId="0" borderId="7" xfId="0" applyFill="1" applyBorder="1" applyAlignment="1">
      <alignment vertical="center"/>
    </xf>
    <xf numFmtId="0" fontId="0" fillId="0" borderId="31" xfId="0" applyFill="1" applyBorder="1" applyAlignment="1">
      <alignment vertical="center"/>
    </xf>
    <xf numFmtId="0" fontId="0" fillId="0" borderId="11" xfId="0" applyFill="1" applyBorder="1" applyAlignment="1">
      <alignment vertical="center"/>
    </xf>
    <xf numFmtId="176" fontId="2" fillId="0" borderId="97" xfId="17" applyNumberFormat="1" applyFont="1" applyFill="1" applyBorder="1" applyAlignment="1">
      <alignment wrapText="1"/>
    </xf>
    <xf numFmtId="176" fontId="2" fillId="0" borderId="98" xfId="17" applyNumberFormat="1" applyFont="1" applyFill="1" applyBorder="1" applyAlignment="1">
      <alignment/>
    </xf>
    <xf numFmtId="0" fontId="7" fillId="0" borderId="117" xfId="0" applyFont="1" applyBorder="1" applyAlignment="1">
      <alignment vertical="center" textRotation="255"/>
    </xf>
    <xf numFmtId="176" fontId="2" fillId="0" borderId="58" xfId="17" applyNumberFormat="1" applyFont="1" applyFill="1" applyBorder="1" applyAlignment="1">
      <alignment horizontal="right" wrapText="1"/>
    </xf>
    <xf numFmtId="176" fontId="2" fillId="0" borderId="44" xfId="17" applyNumberFormat="1" applyFont="1" applyFill="1" applyBorder="1" applyAlignment="1">
      <alignment horizontal="right" wrapText="1"/>
    </xf>
    <xf numFmtId="176" fontId="2" fillId="0" borderId="12" xfId="17" applyNumberFormat="1" applyFont="1" applyFill="1" applyBorder="1" applyAlignment="1">
      <alignment wrapText="1"/>
    </xf>
    <xf numFmtId="176" fontId="2" fillId="0" borderId="64" xfId="17" applyNumberFormat="1" applyFont="1" applyFill="1" applyBorder="1" applyAlignment="1">
      <alignment horizontal="right" wrapText="1"/>
    </xf>
    <xf numFmtId="176" fontId="2" fillId="0" borderId="118" xfId="17" applyNumberFormat="1" applyFont="1" applyFill="1" applyBorder="1" applyAlignment="1">
      <alignment/>
    </xf>
    <xf numFmtId="176" fontId="2" fillId="0" borderId="119" xfId="17" applyNumberFormat="1" applyFont="1" applyFill="1" applyBorder="1" applyAlignment="1">
      <alignment wrapText="1"/>
    </xf>
    <xf numFmtId="176" fontId="2" fillId="0" borderId="119" xfId="17" applyNumberFormat="1" applyFont="1" applyFill="1" applyBorder="1" applyAlignment="1">
      <alignment/>
    </xf>
    <xf numFmtId="176" fontId="2" fillId="0" borderId="120" xfId="17" applyNumberFormat="1" applyFont="1" applyFill="1" applyBorder="1" applyAlignment="1">
      <alignment horizontal="right" wrapText="1"/>
    </xf>
    <xf numFmtId="176" fontId="2" fillId="0" borderId="119" xfId="17" applyNumberFormat="1" applyFont="1" applyFill="1" applyBorder="1" applyAlignment="1">
      <alignment horizontal="right" wrapText="1"/>
    </xf>
    <xf numFmtId="0" fontId="0" fillId="0" borderId="0" xfId="0" applyFont="1" applyAlignment="1">
      <alignment vertical="center"/>
    </xf>
    <xf numFmtId="22" fontId="7" fillId="0" borderId="34" xfId="0" applyNumberFormat="1" applyFont="1" applyFill="1" applyBorder="1" applyAlignment="1">
      <alignment wrapText="1"/>
    </xf>
    <xf numFmtId="176" fontId="2" fillId="0" borderId="1" xfId="17" applyNumberFormat="1" applyFont="1" applyFill="1" applyBorder="1" applyAlignment="1">
      <alignment/>
    </xf>
    <xf numFmtId="176" fontId="2" fillId="0" borderId="0" xfId="0" applyNumberFormat="1" applyFont="1" applyFill="1" applyBorder="1" applyAlignment="1">
      <alignment horizontal="right"/>
    </xf>
    <xf numFmtId="176" fontId="2" fillId="0" borderId="19" xfId="0" applyNumberFormat="1" applyFont="1" applyFill="1" applyBorder="1" applyAlignment="1">
      <alignment horizontal="right"/>
    </xf>
    <xf numFmtId="0" fontId="2" fillId="0" borderId="20" xfId="0" applyFont="1" applyFill="1" applyBorder="1" applyAlignment="1">
      <alignment horizontal="right" wrapText="1"/>
    </xf>
    <xf numFmtId="176" fontId="2" fillId="0" borderId="60" xfId="0" applyNumberFormat="1" applyFont="1" applyFill="1" applyBorder="1" applyAlignment="1">
      <alignment horizontal="center" vertical="center" wrapText="1"/>
    </xf>
    <xf numFmtId="176" fontId="2" fillId="0" borderId="15" xfId="0" applyNumberFormat="1" applyFont="1" applyFill="1" applyBorder="1" applyAlignment="1">
      <alignment horizontal="right" wrapText="1"/>
    </xf>
    <xf numFmtId="176" fontId="2" fillId="0" borderId="2" xfId="17" applyNumberFormat="1" applyFont="1" applyFill="1" applyBorder="1" applyAlignment="1">
      <alignment/>
    </xf>
    <xf numFmtId="0" fontId="7" fillId="0" borderId="84" xfId="0" applyFont="1" applyFill="1" applyBorder="1" applyAlignment="1">
      <alignment vertical="center" wrapText="1"/>
    </xf>
    <xf numFmtId="0" fontId="1" fillId="0" borderId="33" xfId="0" applyFont="1" applyFill="1" applyBorder="1" applyAlignment="1">
      <alignment vertical="center" wrapText="1"/>
    </xf>
    <xf numFmtId="176" fontId="7" fillId="0" borderId="121" xfId="0" applyNumberFormat="1" applyFont="1" applyFill="1" applyBorder="1" applyAlignment="1">
      <alignment vertical="center"/>
    </xf>
    <xf numFmtId="176" fontId="7" fillId="0" borderId="93" xfId="0" applyNumberFormat="1" applyFont="1" applyFill="1" applyBorder="1" applyAlignment="1">
      <alignment vertical="center"/>
    </xf>
    <xf numFmtId="176" fontId="7" fillId="0" borderId="95" xfId="0" applyNumberFormat="1" applyFont="1" applyFill="1" applyBorder="1" applyAlignment="1">
      <alignment vertical="center"/>
    </xf>
    <xf numFmtId="176" fontId="7" fillId="0" borderId="84" xfId="0" applyNumberFormat="1" applyFont="1" applyFill="1" applyBorder="1" applyAlignment="1">
      <alignment vertical="center"/>
    </xf>
    <xf numFmtId="176" fontId="7" fillId="0" borderId="72" xfId="0" applyNumberFormat="1" applyFont="1" applyFill="1" applyBorder="1" applyAlignment="1">
      <alignment vertical="center"/>
    </xf>
    <xf numFmtId="176" fontId="2" fillId="0" borderId="122" xfId="17" applyNumberFormat="1" applyFont="1" applyFill="1" applyBorder="1" applyAlignment="1">
      <alignment wrapText="1"/>
    </xf>
    <xf numFmtId="176" fontId="9" fillId="0" borderId="48" xfId="17" applyNumberFormat="1" applyFont="1" applyFill="1" applyBorder="1" applyAlignment="1">
      <alignment/>
    </xf>
    <xf numFmtId="0" fontId="7" fillId="0" borderId="88" xfId="0" applyFont="1" applyFill="1" applyBorder="1" applyAlignment="1">
      <alignment horizontal="center" vertical="center"/>
    </xf>
    <xf numFmtId="176" fontId="7" fillId="0" borderId="34" xfId="0" applyNumberFormat="1" applyFont="1" applyFill="1" applyBorder="1" applyAlignment="1">
      <alignment horizontal="center" vertical="center" wrapText="1"/>
    </xf>
    <xf numFmtId="176" fontId="2" fillId="0" borderId="21" xfId="0" applyNumberFormat="1" applyFont="1" applyFill="1" applyBorder="1" applyAlignment="1">
      <alignment horizontal="center" wrapText="1"/>
    </xf>
    <xf numFmtId="176" fontId="2" fillId="0" borderId="20" xfId="17" applyNumberFormat="1" applyFont="1" applyFill="1" applyBorder="1" applyAlignment="1">
      <alignment wrapText="1"/>
    </xf>
    <xf numFmtId="176" fontId="2" fillId="0" borderId="91" xfId="17" applyNumberFormat="1" applyFont="1" applyFill="1" applyBorder="1" applyAlignment="1">
      <alignment/>
    </xf>
    <xf numFmtId="176" fontId="2" fillId="0" borderId="42" xfId="0" applyNumberFormat="1" applyFont="1" applyFill="1" applyBorder="1" applyAlignment="1">
      <alignment horizontal="right" wrapText="1"/>
    </xf>
    <xf numFmtId="38" fontId="2" fillId="0" borderId="117" xfId="17" applyFont="1" applyFill="1" applyBorder="1" applyAlignment="1">
      <alignment horizontal="right" wrapText="1"/>
    </xf>
    <xf numFmtId="0" fontId="0" fillId="0" borderId="47" xfId="0" applyBorder="1" applyAlignment="1">
      <alignment vertical="center"/>
    </xf>
    <xf numFmtId="0" fontId="7" fillId="0" borderId="123" xfId="0" applyFont="1" applyFill="1" applyBorder="1" applyAlignment="1">
      <alignment horizontal="center" vertical="center" wrapText="1"/>
    </xf>
    <xf numFmtId="0" fontId="7" fillId="0" borderId="124" xfId="0" applyFont="1" applyFill="1" applyBorder="1" applyAlignment="1">
      <alignment horizontal="center" vertical="center"/>
    </xf>
    <xf numFmtId="0" fontId="7" fillId="0" borderId="125" xfId="0" applyFont="1" applyFill="1" applyBorder="1" applyAlignment="1">
      <alignment horizontal="center" vertical="center" wrapText="1"/>
    </xf>
    <xf numFmtId="0" fontId="7" fillId="0" borderId="126" xfId="0" applyFont="1" applyFill="1" applyBorder="1" applyAlignment="1">
      <alignment horizontal="center" vertical="center" wrapText="1"/>
    </xf>
    <xf numFmtId="176" fontId="7" fillId="0" borderId="126" xfId="0" applyNumberFormat="1" applyFont="1" applyFill="1" applyBorder="1" applyAlignment="1">
      <alignment horizontal="center" vertical="center" wrapText="1"/>
    </xf>
    <xf numFmtId="176" fontId="7" fillId="0" borderId="127" xfId="0" applyNumberFormat="1" applyFont="1" applyFill="1" applyBorder="1" applyAlignment="1">
      <alignment horizontal="center" vertical="center" wrapText="1"/>
    </xf>
    <xf numFmtId="38" fontId="2" fillId="0" borderId="128" xfId="17" applyFont="1" applyFill="1" applyBorder="1" applyAlignment="1">
      <alignment horizontal="right" wrapText="1"/>
    </xf>
    <xf numFmtId="38" fontId="2" fillId="0" borderId="129" xfId="17" applyFont="1" applyFill="1" applyBorder="1" applyAlignment="1">
      <alignment horizontal="right" wrapText="1"/>
    </xf>
    <xf numFmtId="38" fontId="2" fillId="0" borderId="120" xfId="17" applyFont="1" applyFill="1" applyBorder="1" applyAlignment="1">
      <alignment horizontal="right" wrapText="1"/>
    </xf>
    <xf numFmtId="38" fontId="2" fillId="0" borderId="119" xfId="17" applyFont="1" applyFill="1" applyBorder="1" applyAlignment="1">
      <alignment horizontal="right" wrapText="1"/>
    </xf>
    <xf numFmtId="176" fontId="2" fillId="0" borderId="130" xfId="17" applyNumberFormat="1" applyFont="1" applyFill="1" applyBorder="1" applyAlignment="1">
      <alignment wrapText="1"/>
    </xf>
    <xf numFmtId="176" fontId="2" fillId="0" borderId="131" xfId="17" applyNumberFormat="1" applyFont="1" applyFill="1" applyBorder="1" applyAlignment="1">
      <alignment wrapText="1"/>
    </xf>
    <xf numFmtId="176" fontId="2" fillId="0" borderId="132" xfId="17" applyNumberFormat="1" applyFont="1" applyFill="1" applyBorder="1" applyAlignment="1">
      <alignment wrapText="1"/>
    </xf>
    <xf numFmtId="176" fontId="2" fillId="0" borderId="133" xfId="17" applyNumberFormat="1" applyFont="1" applyFill="1" applyBorder="1" applyAlignment="1">
      <alignment wrapText="1"/>
    </xf>
    <xf numFmtId="176" fontId="2" fillId="0" borderId="128" xfId="17" applyNumberFormat="1" applyFont="1" applyFill="1" applyBorder="1" applyAlignment="1">
      <alignment wrapText="1"/>
    </xf>
    <xf numFmtId="176" fontId="2" fillId="0" borderId="129" xfId="17" applyNumberFormat="1" applyFont="1" applyFill="1" applyBorder="1" applyAlignment="1">
      <alignment wrapText="1"/>
    </xf>
    <xf numFmtId="176" fontId="2" fillId="0" borderId="120" xfId="17" applyNumberFormat="1" applyFont="1" applyFill="1" applyBorder="1" applyAlignment="1">
      <alignment/>
    </xf>
    <xf numFmtId="176" fontId="2" fillId="0" borderId="134" xfId="17" applyNumberFormat="1" applyFont="1" applyFill="1" applyBorder="1" applyAlignment="1">
      <alignment wrapText="1"/>
    </xf>
    <xf numFmtId="176" fontId="2" fillId="0" borderId="135" xfId="17" applyNumberFormat="1" applyFont="1" applyFill="1" applyBorder="1" applyAlignment="1">
      <alignment wrapText="1"/>
    </xf>
    <xf numFmtId="176" fontId="2" fillId="0" borderId="120" xfId="17" applyNumberFormat="1" applyFont="1" applyFill="1" applyBorder="1" applyAlignment="1">
      <alignment wrapText="1"/>
    </xf>
    <xf numFmtId="176" fontId="2" fillId="0" borderId="135" xfId="17" applyNumberFormat="1" applyFont="1" applyFill="1" applyBorder="1" applyAlignment="1">
      <alignment/>
    </xf>
    <xf numFmtId="176" fontId="2" fillId="0" borderId="131" xfId="17" applyNumberFormat="1" applyFont="1" applyFill="1" applyBorder="1" applyAlignment="1">
      <alignment/>
    </xf>
    <xf numFmtId="0" fontId="0" fillId="0" borderId="129" xfId="0" applyFill="1" applyBorder="1" applyAlignment="1">
      <alignment vertical="center"/>
    </xf>
    <xf numFmtId="176" fontId="2" fillId="0" borderId="136" xfId="17" applyNumberFormat="1" applyFont="1" applyFill="1" applyBorder="1" applyAlignment="1">
      <alignment wrapText="1"/>
    </xf>
    <xf numFmtId="176" fontId="2" fillId="0" borderId="137" xfId="17" applyNumberFormat="1" applyFont="1" applyFill="1" applyBorder="1" applyAlignment="1">
      <alignment wrapText="1"/>
    </xf>
    <xf numFmtId="176" fontId="2" fillId="0" borderId="133" xfId="17" applyNumberFormat="1" applyFont="1" applyFill="1" applyBorder="1" applyAlignment="1">
      <alignment/>
    </xf>
    <xf numFmtId="176" fontId="9" fillId="0" borderId="133" xfId="17" applyNumberFormat="1" applyFont="1" applyFill="1" applyBorder="1" applyAlignment="1">
      <alignment/>
    </xf>
    <xf numFmtId="176" fontId="2" fillId="0" borderId="129" xfId="17" applyNumberFormat="1" applyFont="1" applyFill="1" applyBorder="1" applyAlignment="1">
      <alignment/>
    </xf>
    <xf numFmtId="176" fontId="9" fillId="0" borderId="129" xfId="17" applyNumberFormat="1" applyFont="1" applyFill="1" applyBorder="1" applyAlignment="1">
      <alignment/>
    </xf>
    <xf numFmtId="176" fontId="2" fillId="0" borderId="125" xfId="17" applyNumberFormat="1" applyFont="1" applyFill="1" applyBorder="1" applyAlignment="1">
      <alignment wrapText="1"/>
    </xf>
    <xf numFmtId="176" fontId="2" fillId="0" borderId="127" xfId="17" applyNumberFormat="1" applyFont="1" applyFill="1" applyBorder="1" applyAlignment="1">
      <alignment wrapText="1"/>
    </xf>
    <xf numFmtId="0" fontId="7" fillId="0" borderId="47" xfId="0" applyFont="1" applyFill="1" applyBorder="1" applyAlignment="1">
      <alignment horizontal="center" vertical="top" textRotation="255"/>
    </xf>
    <xf numFmtId="0" fontId="0" fillId="0" borderId="0" xfId="0" applyFill="1" applyBorder="1" applyAlignment="1">
      <alignment horizontal="center" vertical="center"/>
    </xf>
    <xf numFmtId="0" fontId="3" fillId="0" borderId="11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2" xfId="0" applyFont="1" applyFill="1" applyBorder="1" applyAlignment="1">
      <alignment horizontal="center" vertical="center"/>
    </xf>
    <xf numFmtId="0" fontId="7" fillId="3" borderId="5" xfId="0" applyFont="1" applyFill="1" applyBorder="1" applyAlignment="1">
      <alignment vertical="center" wrapText="1"/>
    </xf>
    <xf numFmtId="0" fontId="0" fillId="0" borderId="0" xfId="0" applyFill="1" applyAlignment="1">
      <alignment vertical="center"/>
    </xf>
    <xf numFmtId="176" fontId="0" fillId="0" borderId="0" xfId="0" applyNumberFormat="1"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vertical="center"/>
    </xf>
    <xf numFmtId="38" fontId="0" fillId="0" borderId="13" xfId="17" applyFill="1" applyBorder="1" applyAlignment="1">
      <alignment vertical="center"/>
    </xf>
    <xf numFmtId="176" fontId="2" fillId="0" borderId="19" xfId="17" applyNumberFormat="1" applyFont="1" applyFill="1" applyBorder="1" applyAlignment="1">
      <alignment/>
    </xf>
    <xf numFmtId="176" fontId="2" fillId="0" borderId="20" xfId="17" applyNumberFormat="1" applyFont="1" applyFill="1" applyBorder="1" applyAlignment="1">
      <alignment/>
    </xf>
    <xf numFmtId="176" fontId="2" fillId="0" borderId="21" xfId="17" applyNumberFormat="1" applyFont="1" applyFill="1" applyBorder="1" applyAlignment="1">
      <alignment/>
    </xf>
    <xf numFmtId="176" fontId="2" fillId="0" borderId="49" xfId="17" applyNumberFormat="1" applyFont="1" applyFill="1" applyBorder="1" applyAlignment="1">
      <alignment/>
    </xf>
    <xf numFmtId="176" fontId="2" fillId="0" borderId="60" xfId="17" applyNumberFormat="1" applyFont="1" applyFill="1" applyBorder="1" applyAlignment="1">
      <alignment/>
    </xf>
    <xf numFmtId="176" fontId="2" fillId="0" borderId="15" xfId="17" applyNumberFormat="1" applyFont="1" applyFill="1" applyBorder="1" applyAlignment="1">
      <alignment/>
    </xf>
    <xf numFmtId="176" fontId="2" fillId="0" borderId="0" xfId="17" applyNumberFormat="1" applyFont="1" applyFill="1" applyBorder="1" applyAlignment="1">
      <alignment/>
    </xf>
    <xf numFmtId="176" fontId="2" fillId="0" borderId="14" xfId="17" applyNumberFormat="1" applyFont="1" applyFill="1" applyBorder="1" applyAlignment="1">
      <alignment/>
    </xf>
    <xf numFmtId="176" fontId="2" fillId="0" borderId="31" xfId="17" applyNumberFormat="1" applyFont="1" applyFill="1" applyBorder="1" applyAlignment="1">
      <alignment/>
    </xf>
    <xf numFmtId="176" fontId="2" fillId="0" borderId="13" xfId="17" applyNumberFormat="1" applyFont="1" applyFill="1" applyBorder="1" applyAlignment="1">
      <alignment/>
    </xf>
    <xf numFmtId="176" fontId="2" fillId="0" borderId="11" xfId="17" applyNumberFormat="1" applyFont="1" applyFill="1" applyBorder="1" applyAlignment="1">
      <alignment/>
    </xf>
    <xf numFmtId="176" fontId="2" fillId="0" borderId="61" xfId="17" applyNumberFormat="1" applyFont="1" applyFill="1" applyBorder="1" applyAlignment="1">
      <alignment/>
    </xf>
    <xf numFmtId="176" fontId="2" fillId="0" borderId="50" xfId="17" applyNumberFormat="1" applyFont="1" applyFill="1" applyBorder="1" applyAlignment="1">
      <alignment/>
    </xf>
    <xf numFmtId="176" fontId="2" fillId="0" borderId="1" xfId="17" applyNumberFormat="1" applyFont="1" applyFill="1" applyBorder="1" applyAlignment="1">
      <alignment/>
    </xf>
    <xf numFmtId="176" fontId="2" fillId="0" borderId="29" xfId="17" applyNumberFormat="1" applyFont="1" applyFill="1" applyBorder="1" applyAlignment="1">
      <alignment/>
    </xf>
    <xf numFmtId="176" fontId="2" fillId="0" borderId="10" xfId="17" applyNumberFormat="1" applyFont="1" applyFill="1" applyBorder="1" applyAlignment="1">
      <alignment/>
    </xf>
    <xf numFmtId="176" fontId="2" fillId="0" borderId="48" xfId="17" applyNumberFormat="1" applyFont="1" applyFill="1" applyBorder="1" applyAlignment="1">
      <alignment/>
    </xf>
    <xf numFmtId="176" fontId="2" fillId="0" borderId="96" xfId="17" applyNumberFormat="1" applyFont="1" applyFill="1" applyBorder="1" applyAlignment="1">
      <alignment/>
    </xf>
    <xf numFmtId="176" fontId="2" fillId="0" borderId="53" xfId="17" applyNumberFormat="1" applyFont="1" applyFill="1" applyBorder="1" applyAlignment="1">
      <alignment/>
    </xf>
    <xf numFmtId="176" fontId="2" fillId="0" borderId="40" xfId="17" applyNumberFormat="1" applyFont="1" applyFill="1" applyBorder="1" applyAlignment="1">
      <alignment/>
    </xf>
    <xf numFmtId="176" fontId="2" fillId="0" borderId="42" xfId="17" applyNumberFormat="1" applyFont="1" applyFill="1" applyBorder="1" applyAlignment="1">
      <alignment/>
    </xf>
    <xf numFmtId="176" fontId="2" fillId="0" borderId="44" xfId="17" applyNumberFormat="1" applyFont="1" applyFill="1" applyBorder="1" applyAlignment="1">
      <alignment/>
    </xf>
    <xf numFmtId="176" fontId="2" fillId="0" borderId="17" xfId="17" applyNumberFormat="1" applyFont="1" applyFill="1" applyBorder="1" applyAlignment="1">
      <alignment/>
    </xf>
    <xf numFmtId="176" fontId="2" fillId="0" borderId="39" xfId="17" applyNumberFormat="1" applyFont="1" applyFill="1" applyBorder="1" applyAlignment="1">
      <alignment/>
    </xf>
    <xf numFmtId="176" fontId="2" fillId="0" borderId="93" xfId="17" applyNumberFormat="1" applyFont="1" applyFill="1" applyBorder="1" applyAlignment="1">
      <alignment/>
    </xf>
    <xf numFmtId="176" fontId="2" fillId="0" borderId="79" xfId="17" applyNumberFormat="1" applyFont="1" applyFill="1" applyBorder="1" applyAlignment="1">
      <alignment/>
    </xf>
    <xf numFmtId="176" fontId="2" fillId="0" borderId="80" xfId="17" applyNumberFormat="1" applyFont="1" applyFill="1" applyBorder="1" applyAlignment="1">
      <alignment/>
    </xf>
    <xf numFmtId="176" fontId="2" fillId="0" borderId="70" xfId="17" applyNumberFormat="1" applyFont="1" applyFill="1" applyBorder="1" applyAlignment="1">
      <alignment/>
    </xf>
    <xf numFmtId="176" fontId="2" fillId="0" borderId="72" xfId="17" applyNumberFormat="1" applyFont="1" applyFill="1" applyBorder="1" applyAlignment="1">
      <alignment/>
    </xf>
    <xf numFmtId="176" fontId="2" fillId="0" borderId="91" xfId="17" applyNumberFormat="1" applyFont="1" applyFill="1" applyBorder="1" applyAlignment="1">
      <alignment/>
    </xf>
    <xf numFmtId="176" fontId="2" fillId="0" borderId="28" xfId="17" applyNumberFormat="1" applyFont="1" applyFill="1" applyBorder="1" applyAlignment="1">
      <alignment/>
    </xf>
    <xf numFmtId="176" fontId="2" fillId="0" borderId="55" xfId="17" applyNumberFormat="1" applyFont="1" applyFill="1" applyBorder="1" applyAlignment="1">
      <alignment/>
    </xf>
    <xf numFmtId="38" fontId="0" fillId="0" borderId="13" xfId="17" applyFont="1" applyFill="1" applyBorder="1" applyAlignment="1">
      <alignment/>
    </xf>
    <xf numFmtId="0" fontId="0" fillId="0" borderId="13" xfId="0" applyFill="1" applyBorder="1" applyAlignment="1">
      <alignment vertical="center"/>
    </xf>
    <xf numFmtId="176" fontId="2" fillId="0" borderId="64" xfId="17" applyNumberFormat="1" applyFont="1" applyFill="1" applyBorder="1" applyAlignment="1">
      <alignment/>
    </xf>
    <xf numFmtId="0" fontId="0" fillId="0" borderId="0" xfId="0" applyFill="1" applyBorder="1" applyAlignment="1">
      <alignment vertical="center"/>
    </xf>
    <xf numFmtId="176" fontId="2" fillId="0" borderId="12" xfId="17" applyNumberFormat="1" applyFont="1" applyFill="1" applyBorder="1" applyAlignment="1">
      <alignment/>
    </xf>
    <xf numFmtId="176" fontId="2" fillId="0" borderId="16" xfId="17" applyNumberFormat="1" applyFont="1" applyFill="1" applyBorder="1" applyAlignment="1">
      <alignment/>
    </xf>
    <xf numFmtId="176" fontId="2" fillId="0" borderId="32" xfId="17" applyNumberFormat="1" applyFont="1" applyFill="1" applyBorder="1" applyAlignment="1">
      <alignment/>
    </xf>
    <xf numFmtId="176" fontId="2" fillId="0" borderId="33" xfId="17" applyNumberFormat="1" applyFont="1" applyFill="1" applyBorder="1" applyAlignment="1">
      <alignment/>
    </xf>
    <xf numFmtId="176" fontId="2" fillId="0" borderId="22" xfId="17" applyNumberFormat="1" applyFont="1" applyFill="1" applyBorder="1" applyAlignment="1">
      <alignment/>
    </xf>
    <xf numFmtId="176" fontId="2" fillId="0" borderId="62" xfId="17" applyNumberFormat="1" applyFont="1" applyFill="1" applyBorder="1" applyAlignment="1">
      <alignment/>
    </xf>
    <xf numFmtId="176" fontId="2" fillId="0" borderId="43" xfId="17" applyNumberFormat="1" applyFont="1" applyFill="1" applyBorder="1" applyAlignment="1">
      <alignment/>
    </xf>
    <xf numFmtId="176" fontId="9" fillId="0" borderId="50" xfId="17" applyNumberFormat="1" applyFont="1" applyFill="1" applyBorder="1" applyAlignment="1">
      <alignment/>
    </xf>
    <xf numFmtId="38" fontId="2" fillId="0" borderId="0" xfId="17" applyFont="1" applyFill="1" applyAlignment="1">
      <alignment vertical="center"/>
    </xf>
    <xf numFmtId="176" fontId="2" fillId="0" borderId="133" xfId="17" applyNumberFormat="1" applyFont="1" applyFill="1" applyBorder="1" applyAlignment="1">
      <alignment/>
    </xf>
    <xf numFmtId="176" fontId="9" fillId="0" borderId="133" xfId="17" applyNumberFormat="1" applyFont="1" applyFill="1" applyBorder="1" applyAlignment="1">
      <alignment/>
    </xf>
    <xf numFmtId="176" fontId="2" fillId="0" borderId="131" xfId="17" applyNumberFormat="1" applyFont="1" applyFill="1" applyBorder="1" applyAlignment="1">
      <alignment/>
    </xf>
    <xf numFmtId="176" fontId="9" fillId="0" borderId="0" xfId="17" applyNumberFormat="1" applyFont="1" applyFill="1" applyBorder="1" applyAlignment="1">
      <alignment/>
    </xf>
    <xf numFmtId="176" fontId="2" fillId="0" borderId="24" xfId="17" applyNumberFormat="1" applyFont="1" applyFill="1" applyBorder="1" applyAlignment="1">
      <alignment/>
    </xf>
    <xf numFmtId="176" fontId="2" fillId="0" borderId="25" xfId="17" applyNumberFormat="1" applyFont="1" applyFill="1" applyBorder="1" applyAlignment="1">
      <alignment/>
    </xf>
    <xf numFmtId="176" fontId="9" fillId="0" borderId="81" xfId="17" applyNumberFormat="1" applyFont="1" applyFill="1" applyBorder="1" applyAlignment="1">
      <alignment/>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176" fontId="2" fillId="0" borderId="34" xfId="17" applyNumberFormat="1" applyFont="1" applyFill="1" applyBorder="1" applyAlignment="1">
      <alignment/>
    </xf>
    <xf numFmtId="0" fontId="7" fillId="0" borderId="0" xfId="0" applyFont="1" applyFill="1" applyAlignment="1">
      <alignment vertical="center"/>
    </xf>
    <xf numFmtId="176" fontId="0" fillId="0" borderId="0" xfId="0" applyNumberFormat="1" applyFill="1" applyBorder="1" applyAlignment="1">
      <alignment vertical="center"/>
    </xf>
    <xf numFmtId="38" fontId="0" fillId="0" borderId="0" xfId="17" applyFill="1" applyBorder="1" applyAlignment="1">
      <alignment vertical="center"/>
    </xf>
    <xf numFmtId="38" fontId="0" fillId="0" borderId="0" xfId="0" applyNumberFormat="1" applyFill="1" applyBorder="1" applyAlignment="1">
      <alignment vertical="center"/>
    </xf>
    <xf numFmtId="0" fontId="7" fillId="0" borderId="63" xfId="0" applyFont="1" applyFill="1" applyBorder="1" applyAlignment="1">
      <alignment vertical="center"/>
    </xf>
    <xf numFmtId="0" fontId="7" fillId="0" borderId="47" xfId="0" applyFont="1" applyFill="1" applyBorder="1" applyAlignment="1">
      <alignment horizontal="center" vertical="center"/>
    </xf>
    <xf numFmtId="0" fontId="0" fillId="0" borderId="51" xfId="0" applyFill="1" applyBorder="1" applyAlignment="1">
      <alignment wrapText="1"/>
    </xf>
    <xf numFmtId="0" fontId="7" fillId="0" borderId="0" xfId="0" applyFont="1" applyFill="1" applyAlignment="1">
      <alignment vertical="center" wrapText="1"/>
    </xf>
    <xf numFmtId="0" fontId="0" fillId="0" borderId="43" xfId="0" applyFill="1" applyBorder="1" applyAlignment="1">
      <alignment wrapText="1"/>
    </xf>
    <xf numFmtId="0" fontId="7" fillId="0" borderId="34" xfId="0" applyFont="1" applyFill="1" applyBorder="1" applyAlignment="1">
      <alignment vertical="center" wrapText="1"/>
    </xf>
    <xf numFmtId="0" fontId="7" fillId="0" borderId="48" xfId="0" applyFont="1" applyFill="1" applyBorder="1" applyAlignment="1">
      <alignment horizontal="center" vertical="center" wrapText="1"/>
    </xf>
    <xf numFmtId="0" fontId="7" fillId="0" borderId="46" xfId="0" applyFont="1" applyFill="1" applyBorder="1" applyAlignment="1">
      <alignment vertical="center" wrapText="1"/>
    </xf>
    <xf numFmtId="0" fontId="3" fillId="0" borderId="8" xfId="0" applyFont="1" applyFill="1" applyBorder="1" applyAlignment="1">
      <alignment horizontal="center"/>
    </xf>
    <xf numFmtId="0" fontId="7" fillId="3" borderId="13" xfId="0" applyFont="1" applyFill="1" applyBorder="1" applyAlignment="1">
      <alignment vertical="center" wrapText="1"/>
    </xf>
    <xf numFmtId="0" fontId="0" fillId="0" borderId="8" xfId="0" applyFill="1" applyBorder="1" applyAlignment="1">
      <alignment wrapText="1"/>
    </xf>
    <xf numFmtId="0" fontId="7" fillId="3" borderId="41" xfId="0" applyFont="1" applyFill="1" applyBorder="1" applyAlignment="1">
      <alignment vertical="center" wrapText="1"/>
    </xf>
    <xf numFmtId="0" fontId="7" fillId="0" borderId="36" xfId="0" applyFont="1" applyFill="1" applyBorder="1" applyAlignment="1">
      <alignment horizontal="center" vertical="center"/>
    </xf>
    <xf numFmtId="0" fontId="7" fillId="3" borderId="23" xfId="0" applyFont="1" applyFill="1" applyBorder="1" applyAlignment="1">
      <alignment vertical="center" wrapText="1"/>
    </xf>
    <xf numFmtId="0" fontId="7" fillId="3" borderId="37" xfId="0" applyFont="1" applyFill="1" applyBorder="1" applyAlignment="1">
      <alignment vertical="center" wrapText="1"/>
    </xf>
    <xf numFmtId="0" fontId="7" fillId="3" borderId="0" xfId="0" applyFont="1" applyFill="1" applyAlignment="1">
      <alignment vertical="center" wrapText="1"/>
    </xf>
    <xf numFmtId="0" fontId="3" fillId="0" borderId="5" xfId="0" applyFont="1" applyFill="1" applyBorder="1" applyAlignment="1">
      <alignment vertical="center"/>
    </xf>
    <xf numFmtId="0" fontId="0" fillId="0" borderId="5" xfId="0" applyFill="1" applyBorder="1" applyAlignment="1">
      <alignment vertical="center"/>
    </xf>
    <xf numFmtId="0" fontId="7" fillId="0" borderId="5" xfId="0" applyFont="1" applyFill="1" applyBorder="1" applyAlignment="1">
      <alignment horizontal="center" vertical="center" wrapText="1"/>
    </xf>
    <xf numFmtId="0" fontId="3" fillId="0" borderId="67" xfId="0" applyFont="1" applyFill="1" applyBorder="1" applyAlignment="1">
      <alignment vertical="center"/>
    </xf>
    <xf numFmtId="0" fontId="0" fillId="0" borderId="67" xfId="0" applyFill="1" applyBorder="1" applyAlignment="1">
      <alignment vertical="center"/>
    </xf>
    <xf numFmtId="176" fontId="2" fillId="0" borderId="90" xfId="17" applyNumberFormat="1" applyFont="1" applyFill="1" applyBorder="1" applyAlignment="1">
      <alignment wrapText="1"/>
    </xf>
    <xf numFmtId="0" fontId="7" fillId="0" borderId="67" xfId="0" applyFont="1" applyFill="1" applyBorder="1" applyAlignment="1">
      <alignment horizontal="center" vertical="center" wrapText="1"/>
    </xf>
    <xf numFmtId="38" fontId="2" fillId="0" borderId="67" xfId="17" applyFont="1" applyFill="1" applyBorder="1" applyAlignment="1">
      <alignment horizontal="right" wrapText="1"/>
    </xf>
    <xf numFmtId="176" fontId="2" fillId="0" borderId="75" xfId="17" applyNumberFormat="1" applyFont="1" applyFill="1" applyBorder="1" applyAlignment="1">
      <alignment/>
    </xf>
    <xf numFmtId="176" fontId="2" fillId="0" borderId="57" xfId="17" applyNumberFormat="1" applyFont="1" applyFill="1" applyBorder="1" applyAlignment="1">
      <alignment/>
    </xf>
    <xf numFmtId="176" fontId="2" fillId="0" borderId="87" xfId="17" applyNumberFormat="1" applyFont="1" applyFill="1" applyBorder="1" applyAlignment="1">
      <alignment wrapText="1"/>
    </xf>
    <xf numFmtId="176" fontId="2" fillId="0" borderId="67" xfId="17" applyNumberFormat="1" applyFont="1" applyFill="1" applyBorder="1" applyAlignment="1">
      <alignment/>
    </xf>
    <xf numFmtId="176" fontId="2" fillId="0" borderId="69" xfId="17" applyNumberFormat="1" applyFont="1" applyFill="1" applyBorder="1" applyAlignment="1">
      <alignment/>
    </xf>
    <xf numFmtId="0" fontId="0" fillId="0" borderId="24" xfId="0" applyFill="1" applyBorder="1" applyAlignment="1">
      <alignment vertical="center"/>
    </xf>
    <xf numFmtId="176" fontId="2" fillId="0" borderId="66" xfId="17" applyNumberFormat="1" applyFont="1" applyFill="1" applyBorder="1" applyAlignment="1">
      <alignment/>
    </xf>
    <xf numFmtId="0" fontId="0" fillId="0" borderId="31" xfId="0" applyFill="1" applyBorder="1" applyAlignment="1">
      <alignment vertical="center"/>
    </xf>
    <xf numFmtId="0" fontId="0" fillId="0" borderId="44" xfId="0" applyFill="1" applyBorder="1" applyAlignment="1">
      <alignment vertical="center"/>
    </xf>
    <xf numFmtId="176" fontId="2" fillId="0" borderId="82" xfId="17" applyNumberFormat="1" applyFont="1" applyFill="1" applyBorder="1" applyAlignment="1">
      <alignment wrapText="1"/>
    </xf>
    <xf numFmtId="0" fontId="0" fillId="0" borderId="121" xfId="0" applyFill="1" applyBorder="1" applyAlignment="1">
      <alignment vertical="center"/>
    </xf>
    <xf numFmtId="0" fontId="7" fillId="0" borderId="67" xfId="0" applyFont="1" applyFill="1" applyBorder="1" applyAlignment="1">
      <alignment horizontal="center" vertical="center"/>
    </xf>
    <xf numFmtId="176" fontId="2" fillId="0" borderId="79" xfId="17" applyNumberFormat="1" applyFont="1" applyFill="1" applyBorder="1" applyAlignment="1">
      <alignment wrapText="1"/>
    </xf>
    <xf numFmtId="0" fontId="0" fillId="0" borderId="25" xfId="0" applyFill="1" applyBorder="1" applyAlignment="1">
      <alignment vertical="center"/>
    </xf>
    <xf numFmtId="176" fontId="7" fillId="0" borderId="67" xfId="0" applyNumberFormat="1" applyFont="1" applyFill="1" applyBorder="1" applyAlignment="1">
      <alignment horizontal="center" vertical="center" wrapText="1"/>
    </xf>
    <xf numFmtId="0" fontId="0" fillId="0" borderId="70" xfId="0" applyFill="1" applyBorder="1" applyAlignment="1">
      <alignment vertical="center"/>
    </xf>
    <xf numFmtId="176" fontId="2" fillId="0" borderId="84" xfId="17" applyNumberFormat="1" applyFont="1" applyFill="1" applyBorder="1" applyAlignment="1">
      <alignment wrapText="1"/>
    </xf>
    <xf numFmtId="0" fontId="0" fillId="0" borderId="81" xfId="0" applyFill="1" applyBorder="1" applyAlignment="1">
      <alignment vertical="center"/>
    </xf>
    <xf numFmtId="0" fontId="0" fillId="0" borderId="50" xfId="0" applyFill="1" applyBorder="1" applyAlignment="1">
      <alignment vertical="center"/>
    </xf>
    <xf numFmtId="176" fontId="9" fillId="0" borderId="60" xfId="17" applyNumberFormat="1" applyFont="1" applyFill="1" applyBorder="1" applyAlignment="1">
      <alignment/>
    </xf>
    <xf numFmtId="176" fontId="2" fillId="0" borderId="64" xfId="17" applyNumberFormat="1" applyFont="1" applyFill="1" applyBorder="1" applyAlignment="1">
      <alignment wrapText="1"/>
    </xf>
    <xf numFmtId="0" fontId="0" fillId="0" borderId="80" xfId="0" applyFill="1" applyBorder="1" applyAlignment="1">
      <alignment vertical="center"/>
    </xf>
    <xf numFmtId="176" fontId="9" fillId="0" borderId="67" xfId="17" applyNumberFormat="1" applyFont="1" applyFill="1" applyBorder="1" applyAlignment="1">
      <alignment/>
    </xf>
    <xf numFmtId="176" fontId="2" fillId="0" borderId="80" xfId="17" applyNumberFormat="1" applyFont="1" applyFill="1" applyBorder="1" applyAlignment="1">
      <alignment wrapText="1"/>
    </xf>
    <xf numFmtId="0" fontId="3" fillId="0" borderId="60" xfId="0" applyFont="1" applyFill="1" applyBorder="1" applyAlignment="1">
      <alignment vertical="center"/>
    </xf>
    <xf numFmtId="0" fontId="0" fillId="0" borderId="60" xfId="0" applyFill="1" applyBorder="1" applyAlignment="1">
      <alignment vertical="center"/>
    </xf>
    <xf numFmtId="176" fontId="7" fillId="0" borderId="60" xfId="0" applyNumberFormat="1" applyFont="1" applyFill="1" applyBorder="1" applyAlignment="1">
      <alignment horizontal="center" vertical="center" wrapText="1"/>
    </xf>
    <xf numFmtId="176" fontId="2" fillId="0" borderId="88" xfId="17" applyNumberFormat="1" applyFont="1" applyFill="1" applyBorder="1" applyAlignment="1">
      <alignment/>
    </xf>
    <xf numFmtId="0" fontId="7" fillId="0" borderId="60" xfId="0" applyFont="1" applyFill="1" applyBorder="1" applyAlignment="1">
      <alignment horizontal="center" vertical="center"/>
    </xf>
    <xf numFmtId="176" fontId="0" fillId="0" borderId="19" xfId="0" applyNumberFormat="1" applyFill="1" applyBorder="1" applyAlignment="1">
      <alignment vertical="center"/>
    </xf>
    <xf numFmtId="176" fontId="2" fillId="0" borderId="19" xfId="0" applyNumberFormat="1" applyFont="1" applyFill="1" applyBorder="1" applyAlignment="1" quotePrefix="1">
      <alignment vertical="center"/>
    </xf>
    <xf numFmtId="176" fontId="7" fillId="0" borderId="19" xfId="0" applyNumberFormat="1" applyFont="1" applyFill="1" applyBorder="1" applyAlignment="1">
      <alignment vertical="center"/>
    </xf>
    <xf numFmtId="176" fontId="2" fillId="0" borderId="73" xfId="17" applyNumberFormat="1" applyFont="1" applyFill="1" applyBorder="1" applyAlignment="1">
      <alignment/>
    </xf>
    <xf numFmtId="176" fontId="7" fillId="0" borderId="19" xfId="0" applyNumberFormat="1" applyFont="1" applyFill="1" applyBorder="1" applyAlignment="1">
      <alignment horizontal="center" vertical="center"/>
    </xf>
    <xf numFmtId="0" fontId="0" fillId="0" borderId="20" xfId="0" applyFill="1" applyBorder="1" applyAlignment="1">
      <alignment vertical="center"/>
    </xf>
    <xf numFmtId="0" fontId="7" fillId="0" borderId="20" xfId="0" applyFont="1" applyFill="1" applyBorder="1" applyAlignment="1">
      <alignment horizontal="center" vertical="center" wrapText="1"/>
    </xf>
    <xf numFmtId="176" fontId="2" fillId="0" borderId="121" xfId="17" applyNumberFormat="1" applyFont="1" applyFill="1" applyBorder="1" applyAlignment="1">
      <alignment/>
    </xf>
    <xf numFmtId="0" fontId="7" fillId="0" borderId="20" xfId="0" applyFont="1" applyFill="1" applyBorder="1" applyAlignment="1">
      <alignment horizontal="center" vertical="center"/>
    </xf>
    <xf numFmtId="176" fontId="0" fillId="0" borderId="21" xfId="0" applyNumberFormat="1" applyFill="1" applyBorder="1" applyAlignment="1">
      <alignment vertical="center"/>
    </xf>
    <xf numFmtId="176" fontId="0" fillId="0" borderId="21" xfId="0" applyNumberFormat="1" applyFill="1" applyBorder="1" applyAlignment="1">
      <alignment horizontal="right"/>
    </xf>
    <xf numFmtId="176" fontId="7" fillId="0" borderId="21" xfId="0" applyNumberFormat="1" applyFont="1" applyFill="1" applyBorder="1" applyAlignment="1">
      <alignment horizontal="center" vertical="center" wrapText="1"/>
    </xf>
    <xf numFmtId="0" fontId="7" fillId="0" borderId="21" xfId="0" applyFont="1" applyFill="1" applyBorder="1" applyAlignment="1">
      <alignment horizontal="center" vertical="center"/>
    </xf>
    <xf numFmtId="22" fontId="7" fillId="0" borderId="21" xfId="0" applyNumberFormat="1" applyFont="1" applyFill="1" applyBorder="1" applyAlignment="1">
      <alignment wrapText="1"/>
    </xf>
    <xf numFmtId="0" fontId="2" fillId="0" borderId="15" xfId="0" applyFont="1" applyFill="1" applyBorder="1" applyAlignment="1">
      <alignment horizontal="right" wrapText="1"/>
    </xf>
    <xf numFmtId="22" fontId="0" fillId="0" borderId="15" xfId="0" applyNumberFormat="1" applyFill="1" applyBorder="1" applyAlignment="1" quotePrefix="1">
      <alignment/>
    </xf>
    <xf numFmtId="176" fontId="2" fillId="0" borderId="81" xfId="17" applyNumberFormat="1" applyFont="1" applyFill="1" applyBorder="1" applyAlignment="1">
      <alignment/>
    </xf>
    <xf numFmtId="176" fontId="7" fillId="0" borderId="15" xfId="0" applyNumberFormat="1" applyFont="1" applyFill="1" applyBorder="1" applyAlignment="1">
      <alignment horizontal="center" vertical="center" wrapText="1"/>
    </xf>
    <xf numFmtId="176" fontId="2" fillId="0" borderId="54" xfId="17" applyNumberFormat="1" applyFont="1" applyFill="1" applyBorder="1" applyAlignment="1">
      <alignment/>
    </xf>
    <xf numFmtId="0" fontId="7" fillId="0" borderId="15" xfId="0" applyFont="1" applyFill="1" applyBorder="1" applyAlignment="1">
      <alignment horizontal="center" vertical="center"/>
    </xf>
    <xf numFmtId="0" fontId="2" fillId="0" borderId="60" xfId="0" applyFont="1" applyFill="1" applyBorder="1" applyAlignment="1">
      <alignment horizontal="right" wrapText="1"/>
    </xf>
    <xf numFmtId="22" fontId="0" fillId="0" borderId="60" xfId="0" applyNumberFormat="1" applyFill="1" applyBorder="1" applyAlignment="1" quotePrefix="1">
      <alignment/>
    </xf>
    <xf numFmtId="176" fontId="2" fillId="0" borderId="23" xfId="17" applyNumberFormat="1" applyFont="1" applyFill="1" applyBorder="1" applyAlignment="1">
      <alignment/>
    </xf>
    <xf numFmtId="49" fontId="7" fillId="0" borderId="61" xfId="0" applyNumberFormat="1" applyFont="1" applyFill="1" applyBorder="1" applyAlignment="1">
      <alignment wrapText="1"/>
    </xf>
    <xf numFmtId="49" fontId="7" fillId="0" borderId="44" xfId="0" applyNumberFormat="1" applyFont="1" applyFill="1" applyBorder="1" applyAlignment="1">
      <alignment wrapText="1"/>
    </xf>
    <xf numFmtId="49" fontId="7" fillId="0" borderId="0" xfId="0" applyNumberFormat="1" applyFont="1" applyFill="1" applyBorder="1" applyAlignment="1">
      <alignment wrapText="1"/>
    </xf>
    <xf numFmtId="176" fontId="2" fillId="0" borderId="46" xfId="17" applyNumberFormat="1" applyFont="1" applyFill="1" applyBorder="1" applyAlignment="1">
      <alignment/>
    </xf>
    <xf numFmtId="0" fontId="2" fillId="0" borderId="49" xfId="0" applyFont="1" applyFill="1" applyBorder="1" applyAlignment="1">
      <alignment horizontal="right" wrapText="1"/>
    </xf>
    <xf numFmtId="22" fontId="0" fillId="0" borderId="49" xfId="0" applyNumberFormat="1" applyFill="1" applyBorder="1" applyAlignment="1" quotePrefix="1">
      <alignment/>
    </xf>
    <xf numFmtId="176" fontId="2" fillId="0" borderId="41" xfId="17" applyNumberFormat="1" applyFont="1" applyFill="1" applyBorder="1" applyAlignment="1">
      <alignment/>
    </xf>
    <xf numFmtId="0" fontId="7" fillId="0" borderId="49" xfId="0" applyFont="1" applyFill="1" applyBorder="1" applyAlignment="1">
      <alignment horizontal="center" vertical="center"/>
    </xf>
    <xf numFmtId="176" fontId="2" fillId="0" borderId="49" xfId="0" applyNumberFormat="1" applyFont="1" applyFill="1" applyBorder="1" applyAlignment="1">
      <alignment horizontal="right" wrapText="1"/>
    </xf>
    <xf numFmtId="49" fontId="7" fillId="0" borderId="12" xfId="0" applyNumberFormat="1" applyFont="1" applyFill="1" applyBorder="1" applyAlignment="1">
      <alignment vertical="center" wrapText="1"/>
    </xf>
    <xf numFmtId="176" fontId="2" fillId="0" borderId="5" xfId="0" applyNumberFormat="1" applyFont="1" applyFill="1" applyBorder="1" applyAlignment="1">
      <alignment horizontal="right" wrapText="1"/>
    </xf>
    <xf numFmtId="0" fontId="0" fillId="0" borderId="21" xfId="0" applyFill="1" applyBorder="1" applyAlignment="1">
      <alignment vertical="center"/>
    </xf>
    <xf numFmtId="38" fontId="0" fillId="0" borderId="0" xfId="17" applyFont="1" applyFill="1" applyBorder="1" applyAlignment="1">
      <alignment/>
    </xf>
    <xf numFmtId="0" fontId="0" fillId="0" borderId="17" xfId="0" applyFill="1" applyBorder="1" applyAlignment="1">
      <alignment vertical="center"/>
    </xf>
    <xf numFmtId="0" fontId="0" fillId="0" borderId="53" xfId="0" applyFill="1" applyBorder="1" applyAlignment="1">
      <alignment vertical="center"/>
    </xf>
    <xf numFmtId="38" fontId="0" fillId="0" borderId="17" xfId="17" applyFont="1" applyFill="1" applyBorder="1" applyAlignment="1">
      <alignment/>
    </xf>
    <xf numFmtId="38" fontId="0" fillId="0" borderId="21" xfId="17" applyFont="1" applyFill="1" applyBorder="1" applyAlignment="1">
      <alignment/>
    </xf>
    <xf numFmtId="38" fontId="0" fillId="0" borderId="0" xfId="17" applyFill="1" applyBorder="1" applyAlignment="1">
      <alignment/>
    </xf>
    <xf numFmtId="38" fontId="0" fillId="0" borderId="21" xfId="17" applyFill="1" applyBorder="1" applyAlignment="1">
      <alignment/>
    </xf>
    <xf numFmtId="176" fontId="2" fillId="0" borderId="21" xfId="0" applyNumberFormat="1" applyFont="1" applyFill="1" applyBorder="1" applyAlignment="1">
      <alignment horizontal="right"/>
    </xf>
    <xf numFmtId="176" fontId="0" fillId="0" borderId="17" xfId="0" applyNumberFormat="1" applyFill="1" applyBorder="1" applyAlignment="1">
      <alignment vertical="center"/>
    </xf>
    <xf numFmtId="0" fontId="2" fillId="0" borderId="21" xfId="0" applyFont="1" applyFill="1" applyBorder="1" applyAlignment="1">
      <alignment vertical="center"/>
    </xf>
    <xf numFmtId="0" fontId="2" fillId="0" borderId="13" xfId="0" applyFont="1" applyFill="1" applyBorder="1" applyAlignment="1">
      <alignment vertical="center"/>
    </xf>
    <xf numFmtId="0" fontId="7" fillId="3" borderId="36" xfId="0" applyFont="1" applyFill="1" applyBorder="1" applyAlignment="1">
      <alignment vertical="center" wrapText="1"/>
    </xf>
    <xf numFmtId="0" fontId="5" fillId="0" borderId="5" xfId="0" applyFont="1" applyFill="1" applyBorder="1" applyAlignment="1">
      <alignment vertical="center" wrapText="1"/>
    </xf>
    <xf numFmtId="176" fontId="5" fillId="0" borderId="67" xfId="17" applyNumberFormat="1" applyFont="1" applyFill="1" applyBorder="1" applyAlignment="1">
      <alignment wrapText="1"/>
    </xf>
    <xf numFmtId="176" fontId="5" fillId="0" borderId="67" xfId="17" applyNumberFormat="1" applyFont="1" applyFill="1" applyBorder="1" applyAlignment="1">
      <alignment/>
    </xf>
    <xf numFmtId="176" fontId="14" fillId="0" borderId="67" xfId="17" applyNumberFormat="1" applyFont="1" applyFill="1" applyBorder="1" applyAlignment="1">
      <alignment/>
    </xf>
    <xf numFmtId="176" fontId="5" fillId="0" borderId="60" xfId="17" applyNumberFormat="1" applyFont="1" applyFill="1" applyBorder="1" applyAlignment="1">
      <alignment/>
    </xf>
    <xf numFmtId="176" fontId="5" fillId="0" borderId="19" xfId="17" applyNumberFormat="1" applyFont="1" applyFill="1" applyBorder="1" applyAlignment="1">
      <alignment/>
    </xf>
    <xf numFmtId="176" fontId="2" fillId="4" borderId="20" xfId="17" applyNumberFormat="1" applyFont="1" applyFill="1" applyBorder="1" applyAlignment="1">
      <alignment/>
    </xf>
    <xf numFmtId="176" fontId="2" fillId="4" borderId="21" xfId="17" applyNumberFormat="1" applyFont="1" applyFill="1" applyBorder="1" applyAlignment="1">
      <alignment/>
    </xf>
    <xf numFmtId="176" fontId="2" fillId="4" borderId="15" xfId="17" applyNumberFormat="1" applyFont="1" applyFill="1" applyBorder="1" applyAlignment="1">
      <alignment/>
    </xf>
    <xf numFmtId="176" fontId="2" fillId="4" borderId="13" xfId="17" applyNumberFormat="1" applyFont="1" applyFill="1" applyBorder="1" applyAlignment="1">
      <alignment/>
    </xf>
    <xf numFmtId="0" fontId="0" fillId="0" borderId="30" xfId="0" applyFill="1" applyBorder="1" applyAlignment="1">
      <alignment vertical="center"/>
    </xf>
    <xf numFmtId="0" fontId="0" fillId="0" borderId="133" xfId="0" applyFill="1" applyBorder="1" applyAlignment="1">
      <alignment vertical="center"/>
    </xf>
    <xf numFmtId="0" fontId="0" fillId="0" borderId="129" xfId="0" applyFill="1" applyBorder="1" applyAlignment="1">
      <alignment/>
    </xf>
    <xf numFmtId="0" fontId="3" fillId="0" borderId="0" xfId="0" applyFont="1" applyFill="1" applyAlignment="1">
      <alignment/>
    </xf>
    <xf numFmtId="0" fontId="0" fillId="0" borderId="0" xfId="0" applyFill="1" applyAlignment="1">
      <alignment/>
    </xf>
    <xf numFmtId="176" fontId="7" fillId="0" borderId="126" xfId="0" applyNumberFormat="1" applyFont="1" applyFill="1" applyBorder="1" applyAlignment="1">
      <alignment horizontal="center" wrapText="1"/>
    </xf>
    <xf numFmtId="176" fontId="2" fillId="0" borderId="135" xfId="17" applyNumberFormat="1" applyFont="1" applyFill="1" applyBorder="1" applyAlignment="1">
      <alignment/>
    </xf>
    <xf numFmtId="0" fontId="0" fillId="0" borderId="133" xfId="0" applyFill="1" applyBorder="1" applyAlignment="1">
      <alignment/>
    </xf>
    <xf numFmtId="176" fontId="2" fillId="0" borderId="119" xfId="17" applyNumberFormat="1" applyFont="1" applyFill="1" applyBorder="1" applyAlignment="1">
      <alignment/>
    </xf>
    <xf numFmtId="176" fontId="2" fillId="0" borderId="129" xfId="17" applyNumberFormat="1" applyFont="1" applyFill="1" applyBorder="1" applyAlignment="1">
      <alignment/>
    </xf>
    <xf numFmtId="176" fontId="9" fillId="0" borderId="129" xfId="17" applyNumberFormat="1" applyFont="1" applyFill="1" applyBorder="1" applyAlignment="1">
      <alignment/>
    </xf>
    <xf numFmtId="176" fontId="2" fillId="5" borderId="22" xfId="17" applyNumberFormat="1" applyFont="1" applyFill="1" applyBorder="1" applyAlignment="1">
      <alignment/>
    </xf>
    <xf numFmtId="38" fontId="0" fillId="5" borderId="13" xfId="17" applyFill="1" applyBorder="1" applyAlignment="1">
      <alignment/>
    </xf>
    <xf numFmtId="176" fontId="2" fillId="5" borderId="21" xfId="17" applyNumberFormat="1" applyFont="1" applyFill="1" applyBorder="1" applyAlignment="1">
      <alignment/>
    </xf>
    <xf numFmtId="0" fontId="2" fillId="0" borderId="28" xfId="0" applyFont="1" applyFill="1" applyBorder="1" applyAlignment="1">
      <alignment horizontal="right" wrapText="1"/>
    </xf>
    <xf numFmtId="0" fontId="2" fillId="0" borderId="55" xfId="0" applyFont="1" applyFill="1" applyBorder="1" applyAlignment="1">
      <alignment horizontal="right" wrapText="1"/>
    </xf>
    <xf numFmtId="176" fontId="2" fillId="0" borderId="12" xfId="17" applyNumberFormat="1" applyFont="1" applyFill="1" applyBorder="1" applyAlignment="1">
      <alignment horizontal="right" wrapText="1"/>
    </xf>
    <xf numFmtId="176" fontId="2" fillId="0" borderId="12" xfId="0" applyNumberFormat="1" applyFont="1" applyFill="1" applyBorder="1" applyAlignment="1">
      <alignment horizontal="center" vertical="center" wrapText="1"/>
    </xf>
    <xf numFmtId="49" fontId="7" fillId="0" borderId="15" xfId="0" applyNumberFormat="1" applyFont="1" applyFill="1" applyBorder="1" applyAlignment="1">
      <alignment wrapText="1"/>
    </xf>
    <xf numFmtId="176" fontId="2" fillId="0" borderId="53" xfId="17" applyNumberFormat="1" applyFont="1" applyFill="1" applyBorder="1" applyAlignment="1">
      <alignment horizontal="right" wrapText="1"/>
    </xf>
    <xf numFmtId="176" fontId="2" fillId="0" borderId="138" xfId="17" applyNumberFormat="1" applyFont="1" applyFill="1" applyBorder="1" applyAlignment="1">
      <alignment horizontal="right" wrapText="1"/>
    </xf>
    <xf numFmtId="0" fontId="7" fillId="0" borderId="88" xfId="0" applyFont="1" applyFill="1" applyBorder="1" applyAlignment="1">
      <alignment vertical="center"/>
    </xf>
    <xf numFmtId="0" fontId="7" fillId="0" borderId="88" xfId="0" applyFont="1" applyFill="1" applyBorder="1" applyAlignment="1">
      <alignment wrapText="1"/>
    </xf>
    <xf numFmtId="0" fontId="7" fillId="0" borderId="46" xfId="0" applyFont="1" applyFill="1" applyBorder="1" applyAlignment="1">
      <alignment wrapText="1"/>
    </xf>
    <xf numFmtId="0" fontId="7" fillId="0" borderId="81" xfId="0" applyFont="1" applyFill="1" applyBorder="1" applyAlignment="1">
      <alignment vertical="center" wrapText="1"/>
    </xf>
    <xf numFmtId="176" fontId="7" fillId="0" borderId="139" xfId="0" applyNumberFormat="1" applyFont="1" applyFill="1" applyBorder="1" applyAlignment="1">
      <alignment horizontal="center" wrapText="1"/>
    </xf>
    <xf numFmtId="176" fontId="2" fillId="0" borderId="116" xfId="17" applyNumberFormat="1" applyFont="1" applyFill="1" applyBorder="1" applyAlignment="1">
      <alignment wrapText="1"/>
    </xf>
    <xf numFmtId="38" fontId="2" fillId="0" borderId="53" xfId="17" applyFont="1" applyFill="1" applyBorder="1" applyAlignment="1">
      <alignment horizontal="right" wrapText="1"/>
    </xf>
    <xf numFmtId="176" fontId="2" fillId="0" borderId="140" xfId="17" applyNumberFormat="1" applyFont="1" applyFill="1" applyBorder="1" applyAlignment="1">
      <alignment wrapText="1"/>
    </xf>
    <xf numFmtId="176" fontId="2" fillId="0" borderId="141" xfId="17" applyNumberFormat="1" applyFont="1" applyFill="1" applyBorder="1" applyAlignment="1">
      <alignment wrapText="1"/>
    </xf>
    <xf numFmtId="176" fontId="2" fillId="0" borderId="142" xfId="17" applyNumberFormat="1" applyFont="1" applyFill="1" applyBorder="1" applyAlignment="1">
      <alignment wrapText="1"/>
    </xf>
    <xf numFmtId="0" fontId="0" fillId="0" borderId="141" xfId="0" applyFill="1" applyBorder="1" applyAlignment="1">
      <alignment/>
    </xf>
    <xf numFmtId="0" fontId="0" fillId="0" borderId="140" xfId="0" applyFill="1" applyBorder="1" applyAlignment="1">
      <alignment/>
    </xf>
    <xf numFmtId="176" fontId="2" fillId="0" borderId="143" xfId="17" applyNumberFormat="1" applyFont="1" applyFill="1" applyBorder="1" applyAlignment="1">
      <alignment wrapText="1"/>
    </xf>
    <xf numFmtId="38" fontId="2" fillId="0" borderId="57" xfId="17" applyFont="1" applyFill="1" applyBorder="1" applyAlignment="1">
      <alignment horizontal="right" wrapText="1"/>
    </xf>
    <xf numFmtId="176" fontId="2" fillId="0" borderId="57" xfId="17" applyNumberFormat="1" applyFont="1" applyFill="1" applyBorder="1" applyAlignment="1">
      <alignment horizontal="right" wrapText="1"/>
    </xf>
    <xf numFmtId="176" fontId="7" fillId="0" borderId="144" xfId="0" applyNumberFormat="1" applyFont="1" applyFill="1" applyBorder="1" applyAlignment="1">
      <alignment horizontal="center" vertical="center"/>
    </xf>
    <xf numFmtId="176" fontId="7" fillId="0" borderId="145" xfId="0" applyNumberFormat="1" applyFont="1" applyFill="1" applyBorder="1" applyAlignment="1">
      <alignment vertical="center"/>
    </xf>
    <xf numFmtId="176" fontId="2" fillId="0" borderId="146" xfId="17" applyNumberFormat="1" applyFont="1" applyFill="1" applyBorder="1" applyAlignment="1">
      <alignment/>
    </xf>
    <xf numFmtId="176" fontId="2" fillId="0" borderId="147" xfId="0" applyNumberFormat="1" applyFont="1" applyFill="1" applyBorder="1" applyAlignment="1">
      <alignment horizontal="right"/>
    </xf>
    <xf numFmtId="176" fontId="2" fillId="0" borderId="148" xfId="17" applyNumberFormat="1" applyFont="1" applyFill="1" applyBorder="1" applyAlignment="1">
      <alignment/>
    </xf>
    <xf numFmtId="176" fontId="2" fillId="0" borderId="149" xfId="17" applyNumberFormat="1" applyFont="1" applyFill="1" applyBorder="1" applyAlignment="1">
      <alignment/>
    </xf>
    <xf numFmtId="176" fontId="2" fillId="0" borderId="150" xfId="17" applyNumberFormat="1" applyFont="1" applyFill="1" applyBorder="1" applyAlignment="1">
      <alignment/>
    </xf>
    <xf numFmtId="176" fontId="2" fillId="0" borderId="151" xfId="17" applyNumberFormat="1" applyFont="1" applyFill="1" applyBorder="1" applyAlignment="1">
      <alignment/>
    </xf>
    <xf numFmtId="176" fontId="2" fillId="0" borderId="149" xfId="17" applyNumberFormat="1" applyFont="1" applyFill="1" applyBorder="1" applyAlignment="1">
      <alignment wrapText="1"/>
    </xf>
    <xf numFmtId="176" fontId="2" fillId="0" borderId="147" xfId="17" applyNumberFormat="1" applyFont="1" applyFill="1" applyBorder="1" applyAlignment="1">
      <alignment horizontal="right" wrapText="1"/>
    </xf>
    <xf numFmtId="38" fontId="2" fillId="0" borderId="140" xfId="17" applyFont="1" applyFill="1" applyBorder="1" applyAlignment="1">
      <alignment horizontal="right" wrapText="1"/>
    </xf>
    <xf numFmtId="176" fontId="2" fillId="0" borderId="53" xfId="17" applyNumberFormat="1" applyFont="1" applyFill="1" applyBorder="1" applyAlignment="1">
      <alignment wrapText="1"/>
    </xf>
    <xf numFmtId="176" fontId="2" fillId="0" borderId="142" xfId="17" applyNumberFormat="1" applyFont="1" applyFill="1" applyBorder="1" applyAlignment="1">
      <alignment/>
    </xf>
    <xf numFmtId="176" fontId="2" fillId="0" borderId="116" xfId="17" applyNumberFormat="1" applyFont="1" applyFill="1" applyBorder="1" applyAlignment="1">
      <alignment/>
    </xf>
    <xf numFmtId="176" fontId="2" fillId="0" borderId="141" xfId="17" applyNumberFormat="1" applyFont="1" applyFill="1" applyBorder="1" applyAlignment="1">
      <alignment/>
    </xf>
    <xf numFmtId="176" fontId="9" fillId="0" borderId="141" xfId="17" applyNumberFormat="1" applyFont="1" applyFill="1" applyBorder="1" applyAlignment="1">
      <alignment/>
    </xf>
    <xf numFmtId="176" fontId="9" fillId="0" borderId="140" xfId="17" applyNumberFormat="1" applyFont="1" applyFill="1" applyBorder="1" applyAlignment="1">
      <alignment/>
    </xf>
    <xf numFmtId="176" fontId="2" fillId="0" borderId="144" xfId="0" applyNumberFormat="1" applyFont="1" applyFill="1" applyBorder="1" applyAlignment="1">
      <alignment horizontal="right"/>
    </xf>
    <xf numFmtId="176" fontId="2" fillId="0" borderId="147" xfId="17" applyNumberFormat="1" applyFont="1" applyFill="1" applyBorder="1" applyAlignment="1">
      <alignment/>
    </xf>
    <xf numFmtId="176" fontId="2" fillId="0" borderId="147" xfId="17" applyNumberFormat="1" applyFont="1" applyFill="1" applyBorder="1" applyAlignment="1">
      <alignment wrapText="1"/>
    </xf>
    <xf numFmtId="176" fontId="2" fillId="0" borderId="146" xfId="17" applyNumberFormat="1" applyFont="1" applyFill="1" applyBorder="1" applyAlignment="1">
      <alignment wrapText="1"/>
    </xf>
    <xf numFmtId="0" fontId="3" fillId="0" borderId="0" xfId="0" applyFont="1" applyFill="1" applyAlignment="1">
      <alignment horizontal="left"/>
    </xf>
    <xf numFmtId="0" fontId="0" fillId="0" borderId="13"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52" xfId="0" applyFont="1" applyFill="1" applyBorder="1" applyAlignment="1">
      <alignment vertical="center" wrapText="1"/>
    </xf>
    <xf numFmtId="0" fontId="7" fillId="0" borderId="84" xfId="0" applyFont="1" applyFill="1" applyBorder="1" applyAlignment="1">
      <alignment vertical="center"/>
    </xf>
    <xf numFmtId="176" fontId="7" fillId="0" borderId="153" xfId="0" applyNumberFormat="1" applyFont="1" applyFill="1" applyBorder="1" applyAlignment="1">
      <alignment vertical="center"/>
    </xf>
    <xf numFmtId="176" fontId="7" fillId="0" borderId="0" xfId="0" applyNumberFormat="1" applyFont="1" applyFill="1" applyBorder="1" applyAlignment="1">
      <alignment vertical="center"/>
    </xf>
    <xf numFmtId="0" fontId="7" fillId="0" borderId="56" xfId="0" applyFont="1" applyFill="1" applyBorder="1" applyAlignment="1">
      <alignment vertical="center"/>
    </xf>
    <xf numFmtId="0" fontId="7" fillId="0" borderId="33" xfId="0" applyFont="1" applyFill="1" applyBorder="1" applyAlignment="1">
      <alignment vertical="center"/>
    </xf>
    <xf numFmtId="176" fontId="7" fillId="0" borderId="154" xfId="0" applyNumberFormat="1" applyFont="1" applyFill="1" applyBorder="1" applyAlignment="1">
      <alignment vertical="center"/>
    </xf>
    <xf numFmtId="176" fontId="7" fillId="0" borderId="155" xfId="0" applyNumberFormat="1" applyFont="1" applyFill="1" applyBorder="1" applyAlignment="1">
      <alignment vertical="center"/>
    </xf>
    <xf numFmtId="0" fontId="7" fillId="0" borderId="52" xfId="0" applyFont="1" applyFill="1" applyBorder="1" applyAlignment="1">
      <alignment vertical="center"/>
    </xf>
    <xf numFmtId="0" fontId="7" fillId="0" borderId="40" xfId="0" applyFont="1" applyFill="1" applyBorder="1" applyAlignment="1">
      <alignment vertical="center"/>
    </xf>
    <xf numFmtId="0" fontId="7" fillId="0" borderId="122" xfId="0" applyFont="1" applyFill="1" applyBorder="1" applyAlignment="1">
      <alignment vertical="center" wrapText="1"/>
    </xf>
    <xf numFmtId="176" fontId="7" fillId="0" borderId="58" xfId="0" applyNumberFormat="1" applyFont="1" applyFill="1" applyBorder="1" applyAlignment="1">
      <alignment vertical="center"/>
    </xf>
    <xf numFmtId="176" fontId="7" fillId="0" borderId="156" xfId="0" applyNumberFormat="1" applyFont="1" applyFill="1" applyBorder="1" applyAlignment="1">
      <alignment vertical="center"/>
    </xf>
    <xf numFmtId="176" fontId="7" fillId="0" borderId="0" xfId="0" applyNumberFormat="1" applyFont="1" applyFill="1" applyAlignment="1">
      <alignment vertical="center"/>
    </xf>
    <xf numFmtId="0" fontId="7" fillId="0" borderId="0" xfId="0" applyFont="1" applyFill="1" applyAlignment="1">
      <alignment horizontal="right" wrapText="1"/>
    </xf>
    <xf numFmtId="0" fontId="7" fillId="0" borderId="33" xfId="0" applyFont="1" applyFill="1" applyBorder="1" applyAlignment="1">
      <alignment vertical="center" wrapText="1"/>
    </xf>
    <xf numFmtId="176" fontId="7" fillId="0" borderId="16" xfId="0" applyNumberFormat="1" applyFont="1" applyFill="1" applyBorder="1" applyAlignment="1">
      <alignment vertical="center"/>
    </xf>
    <xf numFmtId="176" fontId="7" fillId="0" borderId="157" xfId="0" applyNumberFormat="1" applyFont="1" applyFill="1" applyBorder="1" applyAlignment="1">
      <alignment vertical="center"/>
    </xf>
    <xf numFmtId="176" fontId="7" fillId="0" borderId="33" xfId="0" applyNumberFormat="1" applyFont="1" applyFill="1" applyBorder="1" applyAlignment="1">
      <alignment vertical="center"/>
    </xf>
    <xf numFmtId="176" fontId="7" fillId="0" borderId="43" xfId="0" applyNumberFormat="1" applyFont="1" applyFill="1" applyBorder="1" applyAlignment="1">
      <alignment vertical="center"/>
    </xf>
    <xf numFmtId="0" fontId="7" fillId="0" borderId="122" xfId="0" applyFont="1" applyFill="1" applyBorder="1" applyAlignment="1">
      <alignment vertical="center"/>
    </xf>
    <xf numFmtId="176" fontId="7" fillId="0" borderId="17" xfId="0" applyNumberFormat="1" applyFont="1" applyFill="1" applyBorder="1" applyAlignment="1">
      <alignment vertical="center"/>
    </xf>
    <xf numFmtId="176" fontId="7" fillId="0" borderId="55" xfId="0" applyNumberFormat="1" applyFont="1" applyFill="1" applyBorder="1" applyAlignment="1">
      <alignment vertical="center"/>
    </xf>
    <xf numFmtId="176" fontId="7" fillId="0" borderId="40" xfId="0" applyNumberFormat="1" applyFont="1" applyFill="1" applyBorder="1" applyAlignment="1">
      <alignment vertical="center"/>
    </xf>
    <xf numFmtId="176" fontId="7" fillId="0" borderId="42" xfId="0" applyNumberFormat="1" applyFont="1" applyFill="1" applyBorder="1" applyAlignment="1">
      <alignment vertical="center"/>
    </xf>
    <xf numFmtId="0" fontId="7" fillId="0" borderId="0" xfId="0" applyFont="1" applyFill="1" applyBorder="1" applyAlignment="1">
      <alignment vertical="center"/>
    </xf>
    <xf numFmtId="0" fontId="7" fillId="0" borderId="158" xfId="0" applyFont="1" applyFill="1" applyBorder="1" applyAlignment="1">
      <alignment vertical="center"/>
    </xf>
    <xf numFmtId="0" fontId="7" fillId="0" borderId="13" xfId="0" applyFont="1" applyFill="1" applyBorder="1" applyAlignment="1">
      <alignment vertical="center"/>
    </xf>
    <xf numFmtId="0" fontId="7" fillId="0" borderId="13" xfId="0" applyFont="1" applyFill="1" applyBorder="1" applyAlignment="1">
      <alignment vertical="center" wrapText="1"/>
    </xf>
    <xf numFmtId="0" fontId="7" fillId="0" borderId="159" xfId="0" applyFont="1" applyFill="1" applyBorder="1" applyAlignment="1">
      <alignment vertical="center" wrapText="1"/>
    </xf>
    <xf numFmtId="176" fontId="7" fillId="0" borderId="118" xfId="0" applyNumberFormat="1" applyFont="1" applyFill="1" applyBorder="1" applyAlignment="1">
      <alignment vertical="center"/>
    </xf>
    <xf numFmtId="176" fontId="7" fillId="0" borderId="160" xfId="0" applyNumberFormat="1" applyFont="1" applyFill="1" applyBorder="1" applyAlignment="1">
      <alignment vertical="center"/>
    </xf>
    <xf numFmtId="0" fontId="0" fillId="0" borderId="13" xfId="0" applyFont="1" applyFill="1" applyBorder="1" applyAlignment="1">
      <alignment horizontal="center"/>
    </xf>
    <xf numFmtId="0" fontId="1" fillId="0" borderId="13" xfId="0" applyFont="1" applyFill="1" applyBorder="1" applyAlignment="1">
      <alignment vertical="center" wrapText="1"/>
    </xf>
    <xf numFmtId="176" fontId="7" fillId="0" borderId="14" xfId="0" applyNumberFormat="1" applyFont="1" applyFill="1" applyBorder="1" applyAlignment="1">
      <alignment vertical="center"/>
    </xf>
    <xf numFmtId="176" fontId="7" fillId="0" borderId="77" xfId="0" applyNumberFormat="1" applyFont="1" applyFill="1" applyBorder="1" applyAlignment="1">
      <alignment vertical="center"/>
    </xf>
    <xf numFmtId="176" fontId="7" fillId="0" borderId="13" xfId="0" applyNumberFormat="1" applyFont="1" applyFill="1" applyBorder="1" applyAlignment="1">
      <alignment vertical="center"/>
    </xf>
    <xf numFmtId="176" fontId="7" fillId="0" borderId="50" xfId="0" applyNumberFormat="1" applyFont="1" applyFill="1" applyBorder="1" applyAlignment="1">
      <alignment vertical="center"/>
    </xf>
    <xf numFmtId="0" fontId="3" fillId="0" borderId="0" xfId="0" applyFont="1" applyFill="1" applyBorder="1" applyAlignment="1">
      <alignment vertical="center"/>
    </xf>
    <xf numFmtId="0" fontId="1" fillId="0" borderId="84" xfId="0" applyFont="1" applyFill="1" applyBorder="1" applyAlignment="1">
      <alignment vertical="center" wrapText="1"/>
    </xf>
    <xf numFmtId="0" fontId="7" fillId="0" borderId="0" xfId="0" applyFont="1" applyFill="1" applyBorder="1" applyAlignment="1">
      <alignment horizontal="center"/>
    </xf>
    <xf numFmtId="0" fontId="7" fillId="0" borderId="0" xfId="0" applyFont="1" applyFill="1" applyBorder="1" applyAlignment="1">
      <alignment wrapText="1"/>
    </xf>
    <xf numFmtId="0" fontId="7" fillId="0" borderId="0" xfId="0" applyFont="1" applyFill="1" applyBorder="1" applyAlignment="1">
      <alignment horizontal="right" wrapText="1"/>
    </xf>
    <xf numFmtId="176" fontId="7" fillId="0" borderId="0" xfId="0" applyNumberFormat="1" applyFont="1" applyFill="1" applyBorder="1" applyAlignment="1" quotePrefix="1">
      <alignment vertical="center"/>
    </xf>
    <xf numFmtId="176" fontId="7" fillId="0" borderId="0" xfId="0" applyNumberFormat="1" applyFont="1" applyFill="1" applyBorder="1" applyAlignment="1">
      <alignment horizontal="right"/>
    </xf>
    <xf numFmtId="22" fontId="7" fillId="0" borderId="0" xfId="0" applyNumberFormat="1" applyFont="1" applyFill="1" applyBorder="1" applyAlignment="1" quotePrefix="1">
      <alignment/>
    </xf>
    <xf numFmtId="0" fontId="0" fillId="0" borderId="161" xfId="0" applyBorder="1" applyAlignment="1">
      <alignment/>
    </xf>
    <xf numFmtId="176" fontId="2" fillId="0" borderId="19" xfId="17" applyNumberFormat="1" applyFont="1" applyFill="1" applyBorder="1" applyAlignment="1" quotePrefix="1">
      <alignment/>
    </xf>
    <xf numFmtId="176" fontId="2" fillId="3" borderId="21" xfId="17" applyNumberFormat="1" applyFont="1" applyFill="1" applyBorder="1" applyAlignment="1">
      <alignment/>
    </xf>
    <xf numFmtId="176" fontId="2" fillId="3" borderId="15" xfId="17" applyNumberFormat="1" applyFont="1" applyFill="1" applyBorder="1" applyAlignment="1">
      <alignment/>
    </xf>
    <xf numFmtId="10" fontId="2" fillId="0" borderId="21" xfId="15" applyNumberFormat="1" applyFont="1" applyFill="1" applyBorder="1" applyAlignment="1">
      <alignment/>
    </xf>
    <xf numFmtId="176" fontId="2" fillId="3" borderId="13" xfId="17" applyNumberFormat="1" applyFont="1" applyFill="1" applyBorder="1" applyAlignment="1">
      <alignment/>
    </xf>
    <xf numFmtId="176" fontId="2" fillId="3" borderId="11" xfId="17" applyNumberFormat="1" applyFont="1" applyFill="1" applyBorder="1" applyAlignment="1">
      <alignment/>
    </xf>
    <xf numFmtId="176" fontId="2" fillId="3" borderId="19" xfId="17" applyNumberFormat="1" applyFont="1" applyFill="1" applyBorder="1" applyAlignment="1">
      <alignment/>
    </xf>
    <xf numFmtId="176" fontId="2" fillId="3" borderId="14" xfId="17" applyNumberFormat="1" applyFont="1" applyFill="1" applyBorder="1" applyAlignment="1">
      <alignment/>
    </xf>
    <xf numFmtId="176" fontId="2" fillId="3" borderId="14" xfId="17" applyNumberFormat="1" applyFont="1" applyFill="1" applyBorder="1" applyAlignment="1">
      <alignment wrapText="1"/>
    </xf>
    <xf numFmtId="182" fontId="4" fillId="0" borderId="0" xfId="17" applyNumberFormat="1" applyFont="1" applyFill="1" applyAlignment="1">
      <alignment horizontal="center"/>
    </xf>
    <xf numFmtId="182" fontId="3" fillId="0" borderId="0" xfId="17" applyNumberFormat="1" applyFont="1" applyFill="1" applyAlignment="1">
      <alignment vertical="center"/>
    </xf>
    <xf numFmtId="182" fontId="0" fillId="0" borderId="0" xfId="17" applyNumberFormat="1" applyFill="1" applyAlignment="1">
      <alignment vertical="center"/>
    </xf>
    <xf numFmtId="182" fontId="2" fillId="0" borderId="0" xfId="17" applyNumberFormat="1" applyFont="1" applyFill="1" applyAlignment="1">
      <alignment vertical="center"/>
    </xf>
    <xf numFmtId="182" fontId="7" fillId="0" borderId="124" xfId="17" applyNumberFormat="1" applyFont="1" applyFill="1" applyBorder="1" applyAlignment="1">
      <alignment horizontal="center" vertical="center"/>
    </xf>
    <xf numFmtId="182" fontId="7" fillId="0" borderId="127" xfId="17" applyNumberFormat="1" applyFont="1" applyFill="1" applyBorder="1" applyAlignment="1">
      <alignment horizontal="center" vertical="center" wrapText="1"/>
    </xf>
    <xf numFmtId="182" fontId="2" fillId="0" borderId="0" xfId="17" applyNumberFormat="1" applyFont="1" applyFill="1" applyAlignment="1" quotePrefix="1">
      <alignment vertical="center"/>
    </xf>
    <xf numFmtId="182" fontId="7" fillId="0" borderId="144" xfId="17" applyNumberFormat="1" applyFont="1" applyFill="1" applyBorder="1" applyAlignment="1">
      <alignment horizontal="center" vertical="center"/>
    </xf>
    <xf numFmtId="182" fontId="7" fillId="0" borderId="90" xfId="17" applyNumberFormat="1" applyFont="1" applyFill="1" applyBorder="1" applyAlignment="1">
      <alignment horizontal="center" vertical="center" wrapText="1"/>
    </xf>
    <xf numFmtId="182" fontId="7" fillId="0" borderId="24" xfId="17" applyNumberFormat="1" applyFont="1" applyFill="1" applyBorder="1" applyAlignment="1">
      <alignment horizontal="center" vertical="center" wrapText="1"/>
    </xf>
    <xf numFmtId="182" fontId="7" fillId="0" borderId="25" xfId="17" applyNumberFormat="1" applyFont="1" applyFill="1" applyBorder="1" applyAlignment="1">
      <alignment horizontal="center" vertical="center" wrapText="1"/>
    </xf>
    <xf numFmtId="182" fontId="7" fillId="0" borderId="81" xfId="17" applyNumberFormat="1" applyFont="1" applyFill="1" applyBorder="1" applyAlignment="1">
      <alignment horizontal="center" vertical="center" wrapText="1"/>
    </xf>
    <xf numFmtId="176" fontId="2" fillId="0" borderId="73" xfId="17" applyNumberFormat="1" applyFont="1" applyFill="1" applyBorder="1" applyAlignment="1">
      <alignment horizontal="right"/>
    </xf>
    <xf numFmtId="176" fontId="2" fillId="0" borderId="28" xfId="17" applyNumberFormat="1" applyFont="1" applyFill="1" applyBorder="1" applyAlignment="1">
      <alignment horizontal="right" wrapText="1"/>
    </xf>
    <xf numFmtId="176" fontId="2" fillId="0" borderId="29" xfId="17" applyNumberFormat="1" applyFont="1" applyFill="1" applyBorder="1" applyAlignment="1">
      <alignment horizontal="right" wrapText="1"/>
    </xf>
    <xf numFmtId="176" fontId="2" fillId="0" borderId="54" xfId="17" applyNumberFormat="1" applyFont="1" applyFill="1" applyBorder="1" applyAlignment="1">
      <alignment horizontal="right" wrapText="1"/>
    </xf>
    <xf numFmtId="176" fontId="2" fillId="0" borderId="17" xfId="17" applyNumberFormat="1" applyFont="1" applyFill="1" applyBorder="1" applyAlignment="1">
      <alignment horizontal="right"/>
    </xf>
    <xf numFmtId="176" fontId="2" fillId="0" borderId="55" xfId="17" applyNumberFormat="1" applyFont="1" applyFill="1" applyBorder="1" applyAlignment="1">
      <alignment horizontal="right" wrapText="1"/>
    </xf>
    <xf numFmtId="182" fontId="3" fillId="0" borderId="0" xfId="17" applyNumberFormat="1" applyFont="1" applyFill="1" applyAlignment="1">
      <alignment horizontal="left"/>
    </xf>
    <xf numFmtId="182" fontId="2" fillId="0" borderId="0" xfId="17" applyNumberFormat="1" applyFont="1" applyFill="1" applyBorder="1" applyAlignment="1">
      <alignment horizontal="right" wrapText="1"/>
    </xf>
    <xf numFmtId="182" fontId="0" fillId="0" borderId="0" xfId="17" applyNumberFormat="1" applyFill="1" applyAlignment="1">
      <alignment vertical="center"/>
    </xf>
    <xf numFmtId="38" fontId="0" fillId="0" borderId="13" xfId="17" applyFill="1" applyBorder="1" applyAlignment="1">
      <alignment vertical="center"/>
    </xf>
    <xf numFmtId="38" fontId="0" fillId="0" borderId="13" xfId="17" applyFont="1" applyFill="1" applyBorder="1" applyAlignment="1">
      <alignment/>
    </xf>
    <xf numFmtId="38" fontId="0" fillId="0" borderId="13" xfId="17" applyFill="1" applyBorder="1" applyAlignment="1">
      <alignment/>
    </xf>
    <xf numFmtId="38" fontId="0" fillId="0" borderId="0" xfId="17" applyFill="1" applyBorder="1" applyAlignment="1">
      <alignment vertical="center"/>
    </xf>
    <xf numFmtId="182" fontId="2" fillId="0" borderId="0" xfId="17" applyNumberFormat="1" applyFont="1" applyFill="1" applyAlignment="1">
      <alignment vertical="center"/>
    </xf>
    <xf numFmtId="176" fontId="2" fillId="0" borderId="19" xfId="17" applyNumberFormat="1" applyFont="1" applyFill="1" applyBorder="1" applyAlignment="1" quotePrefix="1">
      <alignment/>
    </xf>
    <xf numFmtId="10" fontId="2" fillId="0" borderId="21" xfId="15" applyNumberFormat="1" applyFont="1" applyFill="1" applyBorder="1" applyAlignment="1">
      <alignment/>
    </xf>
    <xf numFmtId="176" fontId="2" fillId="0" borderId="120" xfId="17" applyNumberFormat="1" applyFont="1" applyFill="1" applyBorder="1" applyAlignment="1">
      <alignment/>
    </xf>
    <xf numFmtId="176" fontId="2" fillId="0" borderId="27" xfId="17" applyNumberFormat="1" applyFont="1" applyFill="1" applyBorder="1" applyAlignment="1">
      <alignment/>
    </xf>
    <xf numFmtId="176" fontId="2" fillId="0" borderId="84" xfId="17" applyNumberFormat="1" applyFont="1" applyFill="1" applyBorder="1" applyAlignment="1">
      <alignment/>
    </xf>
    <xf numFmtId="0" fontId="0" fillId="0" borderId="30" xfId="0" applyFill="1" applyBorder="1" applyAlignment="1">
      <alignment vertical="center"/>
    </xf>
    <xf numFmtId="0" fontId="0" fillId="0" borderId="133" xfId="0" applyFill="1" applyBorder="1" applyAlignment="1">
      <alignment vertical="center"/>
    </xf>
    <xf numFmtId="0" fontId="0" fillId="0" borderId="129" xfId="0" applyFill="1" applyBorder="1" applyAlignment="1">
      <alignment vertical="center"/>
    </xf>
    <xf numFmtId="176" fontId="2" fillId="0" borderId="30" xfId="17" applyNumberFormat="1" applyFont="1" applyFill="1" applyBorder="1" applyAlignment="1">
      <alignment/>
    </xf>
    <xf numFmtId="176" fontId="2" fillId="0" borderId="2" xfId="17" applyNumberFormat="1" applyFont="1" applyFill="1" applyBorder="1" applyAlignment="1">
      <alignment/>
    </xf>
    <xf numFmtId="49" fontId="7" fillId="0" borderId="46" xfId="0" applyNumberFormat="1" applyFont="1" applyFill="1" applyBorder="1" applyAlignment="1">
      <alignment vertical="center" wrapText="1"/>
    </xf>
    <xf numFmtId="49" fontId="7" fillId="0" borderId="64" xfId="0" applyNumberFormat="1" applyFont="1" applyFill="1" applyBorder="1" applyAlignment="1">
      <alignment vertical="center" wrapText="1"/>
    </xf>
    <xf numFmtId="49" fontId="7" fillId="0" borderId="80" xfId="0" applyNumberFormat="1" applyFont="1" applyFill="1" applyBorder="1" applyAlignment="1">
      <alignment vertical="center" wrapText="1"/>
    </xf>
    <xf numFmtId="49" fontId="7" fillId="0" borderId="15" xfId="0" applyNumberFormat="1" applyFont="1" applyFill="1" applyBorder="1" applyAlignment="1">
      <alignment vertical="center" wrapText="1"/>
    </xf>
    <xf numFmtId="49" fontId="7" fillId="0" borderId="11" xfId="0" applyNumberFormat="1" applyFont="1" applyFill="1" applyBorder="1" applyAlignment="1">
      <alignment vertical="center" wrapText="1"/>
    </xf>
    <xf numFmtId="0" fontId="7" fillId="0" borderId="10" xfId="0" applyFont="1" applyFill="1" applyBorder="1" applyAlignment="1">
      <alignment vertical="center"/>
    </xf>
    <xf numFmtId="49" fontId="7" fillId="0" borderId="10" xfId="0" applyNumberFormat="1" applyFont="1" applyFill="1" applyBorder="1" applyAlignment="1">
      <alignment vertical="center" wrapText="1"/>
    </xf>
    <xf numFmtId="49" fontId="7" fillId="0" borderId="22" xfId="0" applyNumberFormat="1" applyFont="1" applyFill="1" applyBorder="1" applyAlignment="1">
      <alignment vertical="center" wrapText="1"/>
    </xf>
    <xf numFmtId="176" fontId="2" fillId="0" borderId="91" xfId="17" applyNumberFormat="1" applyFont="1" applyFill="1" applyBorder="1" applyAlignment="1">
      <alignment horizontal="right" wrapText="1"/>
    </xf>
    <xf numFmtId="176" fontId="2" fillId="0" borderId="127" xfId="17" applyNumberFormat="1" applyFont="1" applyFill="1" applyBorder="1" applyAlignment="1">
      <alignment horizontal="right" wrapText="1"/>
    </xf>
    <xf numFmtId="176" fontId="2" fillId="0" borderId="83" xfId="17" applyNumberFormat="1" applyFont="1" applyFill="1" applyBorder="1" applyAlignment="1">
      <alignment horizontal="right" wrapText="1"/>
    </xf>
    <xf numFmtId="176" fontId="2" fillId="0" borderId="94" xfId="17" applyNumberFormat="1" applyFont="1" applyFill="1" applyBorder="1" applyAlignment="1">
      <alignment horizontal="right" wrapText="1"/>
    </xf>
    <xf numFmtId="182" fontId="7" fillId="0" borderId="46" xfId="17" applyNumberFormat="1" applyFont="1" applyFill="1" applyBorder="1" applyAlignment="1">
      <alignment horizontal="center" vertical="center"/>
    </xf>
    <xf numFmtId="182" fontId="7" fillId="0" borderId="64" xfId="17" applyNumberFormat="1" applyFont="1" applyFill="1" applyBorder="1" applyAlignment="1">
      <alignment horizontal="center" vertical="center" wrapText="1"/>
    </xf>
    <xf numFmtId="182" fontId="2" fillId="0" borderId="0" xfId="17" applyNumberFormat="1" applyFont="1" applyFill="1" applyBorder="1" applyAlignment="1">
      <alignment vertical="center"/>
    </xf>
    <xf numFmtId="182" fontId="2" fillId="0" borderId="10" xfId="17" applyNumberFormat="1" applyFont="1" applyFill="1" applyBorder="1" applyAlignment="1">
      <alignment vertical="center"/>
    </xf>
    <xf numFmtId="182" fontId="2" fillId="0" borderId="34" xfId="17" applyNumberFormat="1" applyFont="1" applyFill="1" applyBorder="1" applyAlignment="1">
      <alignment vertical="center"/>
    </xf>
    <xf numFmtId="182" fontId="2" fillId="0" borderId="64" xfId="17" applyNumberFormat="1" applyFont="1" applyFill="1" applyBorder="1" applyAlignment="1">
      <alignment vertical="center"/>
    </xf>
    <xf numFmtId="0" fontId="1" fillId="0" borderId="112" xfId="0" applyFont="1" applyFill="1" applyBorder="1" applyAlignment="1">
      <alignment vertical="center" wrapText="1"/>
    </xf>
    <xf numFmtId="176" fontId="7" fillId="0" borderId="121" xfId="0" applyNumberFormat="1" applyFont="1" applyFill="1" applyBorder="1" applyAlignment="1">
      <alignment/>
    </xf>
    <xf numFmtId="176" fontId="7" fillId="0" borderId="153" xfId="0" applyNumberFormat="1" applyFont="1" applyFill="1" applyBorder="1" applyAlignment="1">
      <alignment/>
    </xf>
    <xf numFmtId="176" fontId="7" fillId="0" borderId="154" xfId="0" applyNumberFormat="1" applyFont="1" applyFill="1" applyBorder="1" applyAlignment="1">
      <alignment/>
    </xf>
    <xf numFmtId="176" fontId="7" fillId="0" borderId="155" xfId="0" applyNumberFormat="1" applyFont="1" applyFill="1" applyBorder="1" applyAlignment="1">
      <alignment/>
    </xf>
    <xf numFmtId="176" fontId="7" fillId="0" borderId="58" xfId="0" applyNumberFormat="1" applyFont="1" applyFill="1" applyBorder="1" applyAlignment="1">
      <alignment/>
    </xf>
    <xf numFmtId="176" fontId="7" fillId="0" borderId="156" xfId="0" applyNumberFormat="1" applyFont="1" applyFill="1" applyBorder="1" applyAlignment="1">
      <alignment/>
    </xf>
    <xf numFmtId="176" fontId="7" fillId="0" borderId="93" xfId="0" applyNumberFormat="1" applyFont="1" applyFill="1" applyBorder="1" applyAlignment="1">
      <alignment/>
    </xf>
    <xf numFmtId="176" fontId="7" fillId="0" borderId="95" xfId="0" applyNumberFormat="1" applyFont="1" applyFill="1" applyBorder="1" applyAlignment="1">
      <alignment/>
    </xf>
    <xf numFmtId="176" fontId="7" fillId="0" borderId="84" xfId="0" applyNumberFormat="1" applyFont="1" applyFill="1" applyBorder="1" applyAlignment="1">
      <alignment/>
    </xf>
    <xf numFmtId="176" fontId="7" fillId="0" borderId="72" xfId="0" applyNumberFormat="1" applyFont="1" applyFill="1" applyBorder="1" applyAlignment="1">
      <alignment/>
    </xf>
    <xf numFmtId="176" fontId="7" fillId="0" borderId="16" xfId="0" applyNumberFormat="1" applyFont="1" applyFill="1" applyBorder="1" applyAlignment="1">
      <alignment/>
    </xf>
    <xf numFmtId="176" fontId="7" fillId="0" borderId="157" xfId="0" applyNumberFormat="1" applyFont="1" applyFill="1" applyBorder="1" applyAlignment="1">
      <alignment/>
    </xf>
    <xf numFmtId="176" fontId="7" fillId="0" borderId="33" xfId="0" applyNumberFormat="1" applyFont="1" applyFill="1" applyBorder="1" applyAlignment="1">
      <alignment/>
    </xf>
    <xf numFmtId="176" fontId="7" fillId="0" borderId="43" xfId="0" applyNumberFormat="1" applyFont="1" applyFill="1" applyBorder="1" applyAlignment="1">
      <alignment/>
    </xf>
    <xf numFmtId="176" fontId="7" fillId="0" borderId="17" xfId="0" applyNumberFormat="1" applyFont="1" applyFill="1" applyBorder="1" applyAlignment="1">
      <alignment/>
    </xf>
    <xf numFmtId="176" fontId="7" fillId="0" borderId="55" xfId="0" applyNumberFormat="1" applyFont="1" applyFill="1" applyBorder="1" applyAlignment="1">
      <alignment/>
    </xf>
    <xf numFmtId="176" fontId="7" fillId="0" borderId="40" xfId="0" applyNumberFormat="1" applyFont="1" applyFill="1" applyBorder="1" applyAlignment="1">
      <alignment/>
    </xf>
    <xf numFmtId="176" fontId="7" fillId="0" borderId="42" xfId="0" applyNumberFormat="1" applyFont="1" applyFill="1" applyBorder="1" applyAlignment="1">
      <alignment/>
    </xf>
    <xf numFmtId="176" fontId="7" fillId="0" borderId="118" xfId="0" applyNumberFormat="1" applyFont="1" applyFill="1" applyBorder="1" applyAlignment="1">
      <alignment/>
    </xf>
    <xf numFmtId="176" fontId="7" fillId="0" borderId="160" xfId="0" applyNumberFormat="1" applyFont="1" applyFill="1" applyBorder="1" applyAlignment="1">
      <alignment/>
    </xf>
    <xf numFmtId="176" fontId="7" fillId="0" borderId="14" xfId="0" applyNumberFormat="1" applyFont="1" applyFill="1" applyBorder="1" applyAlignment="1">
      <alignment/>
    </xf>
    <xf numFmtId="176" fontId="7" fillId="0" borderId="77" xfId="0" applyNumberFormat="1" applyFont="1" applyFill="1" applyBorder="1" applyAlignment="1">
      <alignment/>
    </xf>
    <xf numFmtId="176" fontId="7" fillId="0" borderId="13" xfId="0" applyNumberFormat="1" applyFont="1" applyFill="1" applyBorder="1" applyAlignment="1">
      <alignment/>
    </xf>
    <xf numFmtId="176" fontId="7" fillId="0" borderId="50" xfId="0" applyNumberFormat="1" applyFont="1" applyFill="1" applyBorder="1" applyAlignment="1">
      <alignment/>
    </xf>
    <xf numFmtId="0" fontId="7" fillId="0" borderId="162" xfId="0" applyFont="1" applyFill="1" applyBorder="1" applyAlignment="1">
      <alignment horizontal="center" vertical="center" wrapText="1"/>
    </xf>
    <xf numFmtId="0" fontId="7" fillId="0" borderId="163" xfId="0" applyFont="1" applyFill="1" applyBorder="1" applyAlignment="1">
      <alignment horizontal="center" vertical="center" wrapText="1"/>
    </xf>
    <xf numFmtId="0" fontId="7" fillId="0" borderId="164" xfId="0" applyFont="1" applyFill="1" applyBorder="1" applyAlignment="1">
      <alignment horizontal="center" vertical="center" wrapText="1"/>
    </xf>
    <xf numFmtId="176" fontId="7" fillId="0" borderId="164" xfId="0" applyNumberFormat="1" applyFont="1" applyFill="1" applyBorder="1" applyAlignment="1">
      <alignment horizontal="center" vertical="center" wrapText="1"/>
    </xf>
    <xf numFmtId="182" fontId="7" fillId="0" borderId="145" xfId="17" applyNumberFormat="1" applyFont="1" applyFill="1" applyBorder="1" applyAlignment="1">
      <alignment horizontal="center" vertical="center" wrapText="1"/>
    </xf>
    <xf numFmtId="176" fontId="2" fillId="0" borderId="147" xfId="17" applyNumberFormat="1" applyFont="1" applyFill="1" applyBorder="1" applyAlignment="1">
      <alignment/>
    </xf>
    <xf numFmtId="176" fontId="2" fillId="0" borderId="55" xfId="17" applyNumberFormat="1" applyFont="1" applyFill="1" applyBorder="1" applyAlignment="1">
      <alignment wrapText="1"/>
    </xf>
    <xf numFmtId="176" fontId="2" fillId="0" borderId="149" xfId="17" applyNumberFormat="1" applyFont="1" applyFill="1" applyBorder="1" applyAlignment="1">
      <alignment/>
    </xf>
    <xf numFmtId="176" fontId="2" fillId="0" borderId="77" xfId="17" applyNumberFormat="1" applyFont="1" applyFill="1" applyBorder="1" applyAlignment="1">
      <alignment/>
    </xf>
    <xf numFmtId="0" fontId="7" fillId="0" borderId="45" xfId="0" applyFont="1" applyFill="1" applyBorder="1" applyAlignment="1">
      <alignment horizontal="center" vertical="top" textRotation="255"/>
    </xf>
    <xf numFmtId="0" fontId="7" fillId="0" borderId="47" xfId="0" applyFont="1" applyFill="1" applyBorder="1" applyAlignment="1">
      <alignment horizontal="center" vertical="top" textRotation="255"/>
    </xf>
    <xf numFmtId="0" fontId="2" fillId="2" borderId="162" xfId="0" applyFont="1" applyFill="1" applyBorder="1" applyAlignment="1">
      <alignment horizontal="center" vertical="center" wrapText="1"/>
    </xf>
    <xf numFmtId="0" fontId="2" fillId="2" borderId="163" xfId="0" applyFont="1" applyFill="1" applyBorder="1" applyAlignment="1">
      <alignment horizontal="center" vertical="center" wrapText="1"/>
    </xf>
    <xf numFmtId="176" fontId="2" fillId="2" borderId="165" xfId="0" applyNumberFormat="1" applyFont="1" applyFill="1" applyBorder="1" applyAlignment="1">
      <alignment horizontal="center" vertical="center"/>
    </xf>
    <xf numFmtId="176" fontId="2" fillId="2" borderId="166" xfId="0" applyNumberFormat="1" applyFont="1" applyFill="1" applyBorder="1" applyAlignment="1">
      <alignment horizontal="center" vertical="center"/>
    </xf>
    <xf numFmtId="0" fontId="2" fillId="0" borderId="0" xfId="0" applyFont="1" applyFill="1" applyAlignment="1">
      <alignment horizontal="center" wrapText="1"/>
    </xf>
    <xf numFmtId="0" fontId="0" fillId="0" borderId="161" xfId="0" applyBorder="1" applyAlignment="1">
      <alignment horizontal="center" vertical="center"/>
    </xf>
    <xf numFmtId="0" fontId="0" fillId="0" borderId="83" xfId="0" applyBorder="1" applyAlignment="1">
      <alignment horizontal="center" vertical="center"/>
    </xf>
    <xf numFmtId="0" fontId="0" fillId="0" borderId="167" xfId="0" applyBorder="1" applyAlignment="1">
      <alignment horizontal="center" vertical="center"/>
    </xf>
    <xf numFmtId="0" fontId="0" fillId="0" borderId="88" xfId="0" applyBorder="1" applyAlignment="1">
      <alignment horizontal="center" vertical="center"/>
    </xf>
    <xf numFmtId="0" fontId="0" fillId="0" borderId="103" xfId="0" applyBorder="1" applyAlignment="1">
      <alignment horizontal="center" vertical="center"/>
    </xf>
    <xf numFmtId="0" fontId="0" fillId="0" borderId="168" xfId="0" applyBorder="1" applyAlignment="1">
      <alignment horizontal="center" vertical="center"/>
    </xf>
    <xf numFmtId="0" fontId="0" fillId="0" borderId="79" xfId="0" applyBorder="1" applyAlignment="1">
      <alignment horizontal="center" vertical="center"/>
    </xf>
    <xf numFmtId="31" fontId="3" fillId="0" borderId="0" xfId="0" applyNumberFormat="1" applyFont="1" applyAlignment="1">
      <alignment horizontal="right"/>
    </xf>
    <xf numFmtId="0" fontId="11" fillId="0" borderId="0" xfId="0" applyFont="1" applyAlignment="1">
      <alignment horizontal="center"/>
    </xf>
    <xf numFmtId="0" fontId="3" fillId="0" borderId="0" xfId="0" applyFont="1" applyAlignment="1">
      <alignment horizontal="right"/>
    </xf>
    <xf numFmtId="0" fontId="0" fillId="0" borderId="88" xfId="0" applyBorder="1" applyAlignment="1">
      <alignment horizontal="left" wrapText="1"/>
    </xf>
    <xf numFmtId="0" fontId="0" fillId="0" borderId="169" xfId="0" applyBorder="1" applyAlignment="1">
      <alignment horizontal="center" vertical="center"/>
    </xf>
    <xf numFmtId="0" fontId="0" fillId="0" borderId="31" xfId="0" applyBorder="1" applyAlignment="1">
      <alignment horizontal="center" vertical="center"/>
    </xf>
    <xf numFmtId="0" fontId="0" fillId="0" borderId="170" xfId="0" applyBorder="1" applyAlignment="1">
      <alignment horizontal="center" vertical="center"/>
    </xf>
    <xf numFmtId="0" fontId="0" fillId="0" borderId="24" xfId="0" applyBorder="1" applyAlignment="1">
      <alignment horizontal="center" vertical="center"/>
    </xf>
    <xf numFmtId="0" fontId="0" fillId="0" borderId="117" xfId="0" applyBorder="1" applyAlignment="1">
      <alignment horizontal="center" vertical="center"/>
    </xf>
    <xf numFmtId="0" fontId="0" fillId="0" borderId="39"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82" xfId="0" applyBorder="1" applyAlignment="1">
      <alignment horizontal="center" vertical="center"/>
    </xf>
    <xf numFmtId="0" fontId="2" fillId="2" borderId="23"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6" fillId="2" borderId="11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41"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80" xfId="0" applyFont="1" applyFill="1" applyBorder="1" applyAlignment="1">
      <alignment horizontal="center" vertical="center"/>
    </xf>
    <xf numFmtId="0" fontId="0" fillId="0" borderId="0" xfId="0" applyFill="1" applyBorder="1" applyAlignment="1">
      <alignment horizontal="center" vertical="center"/>
    </xf>
    <xf numFmtId="0" fontId="7" fillId="0" borderId="135" xfId="0" applyFont="1" applyFill="1" applyBorder="1" applyAlignment="1">
      <alignment horizontal="center" vertical="center"/>
    </xf>
    <xf numFmtId="0" fontId="7" fillId="0" borderId="142" xfId="0" applyFont="1" applyFill="1" applyBorder="1" applyAlignment="1">
      <alignment horizontal="center" vertical="center"/>
    </xf>
    <xf numFmtId="182" fontId="7" fillId="0" borderId="70" xfId="17" applyNumberFormat="1" applyFont="1" applyFill="1" applyBorder="1" applyAlignment="1">
      <alignment horizontal="center" vertical="center"/>
    </xf>
    <xf numFmtId="182" fontId="7" fillId="0" borderId="80" xfId="17" applyNumberFormat="1" applyFont="1" applyFill="1" applyBorder="1" applyAlignment="1">
      <alignment horizontal="center" vertical="center"/>
    </xf>
    <xf numFmtId="0" fontId="7" fillId="0" borderId="150" xfId="0" applyFont="1" applyFill="1" applyBorder="1" applyAlignment="1">
      <alignment horizontal="center" vertical="center"/>
    </xf>
    <xf numFmtId="0" fontId="6" fillId="0" borderId="117"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61"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102" xfId="0" applyFont="1" applyFill="1" applyBorder="1" applyAlignment="1">
      <alignment horizontal="center" vertical="center" wrapText="1"/>
    </xf>
    <xf numFmtId="0" fontId="7" fillId="0" borderId="114"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161"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92" xfId="0" applyFont="1" applyFill="1" applyBorder="1" applyAlignment="1">
      <alignment horizontal="center" vertical="center" wrapText="1"/>
    </xf>
    <xf numFmtId="176" fontId="7" fillId="0" borderId="173" xfId="0" applyNumberFormat="1" applyFont="1" applyFill="1" applyBorder="1" applyAlignment="1">
      <alignment horizontal="center" vertical="center"/>
    </xf>
    <xf numFmtId="176" fontId="7" fillId="0" borderId="174" xfId="0" applyNumberFormat="1" applyFont="1" applyFill="1" applyBorder="1" applyAlignment="1">
      <alignment horizontal="center" vertical="center"/>
    </xf>
    <xf numFmtId="176" fontId="7" fillId="0" borderId="73" xfId="0" applyNumberFormat="1" applyFont="1" applyFill="1" applyBorder="1" applyAlignment="1">
      <alignment horizontal="center" vertical="center"/>
    </xf>
    <xf numFmtId="176" fontId="7" fillId="0" borderId="91" xfId="0" applyNumberFormat="1" applyFont="1" applyFill="1" applyBorder="1" applyAlignment="1">
      <alignment horizontal="center" vertical="center"/>
    </xf>
    <xf numFmtId="0" fontId="7" fillId="0" borderId="121"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11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44"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8">
      <selection activeCell="B29" sqref="B29"/>
    </sheetView>
  </sheetViews>
  <sheetFormatPr defaultColWidth="9.00390625" defaultRowHeight="13.5"/>
  <cols>
    <col min="1" max="1" width="1.875" style="0" customWidth="1"/>
    <col min="2" max="2" width="10.625" style="0" customWidth="1"/>
    <col min="3" max="3" width="4.375" style="0" customWidth="1"/>
    <col min="4" max="4" width="16.75390625" style="0" customWidth="1"/>
    <col min="5" max="5" width="20.375" style="0" customWidth="1"/>
    <col min="6" max="6" width="15.375" style="0" customWidth="1"/>
    <col min="7" max="7" width="14.25390625" style="0" customWidth="1"/>
    <col min="8" max="8" width="17.375" style="0" customWidth="1"/>
  </cols>
  <sheetData>
    <row r="1" spans="6:8" ht="17.25">
      <c r="F1" s="833">
        <v>40613</v>
      </c>
      <c r="G1" s="833"/>
      <c r="H1" s="833"/>
    </row>
    <row r="2" spans="1:8" ht="33.75" customHeight="1">
      <c r="A2" s="834" t="s">
        <v>624</v>
      </c>
      <c r="B2" s="834"/>
      <c r="C2" s="834"/>
      <c r="D2" s="834"/>
      <c r="E2" s="834"/>
      <c r="F2" s="834"/>
      <c r="G2" s="834"/>
      <c r="H2" s="834"/>
    </row>
    <row r="3" spans="1:8" ht="24.75" customHeight="1">
      <c r="A3" s="835" t="s">
        <v>625</v>
      </c>
      <c r="B3" s="835"/>
      <c r="C3" s="835"/>
      <c r="D3" s="835"/>
      <c r="E3" s="835"/>
      <c r="F3" s="835"/>
      <c r="G3" s="835"/>
      <c r="H3" s="835"/>
    </row>
    <row r="4" ht="24.75" customHeight="1">
      <c r="A4" s="1" t="s">
        <v>727</v>
      </c>
    </row>
    <row r="5" ht="16.5" customHeight="1">
      <c r="A5" s="1"/>
    </row>
    <row r="6" spans="2:6" ht="29.25" customHeight="1" thickBot="1">
      <c r="B6" s="1" t="s">
        <v>626</v>
      </c>
      <c r="F6" t="s">
        <v>123</v>
      </c>
    </row>
    <row r="7" spans="2:8" ht="26.25" customHeight="1" thickBot="1">
      <c r="B7" s="244"/>
      <c r="C7" s="245" t="s">
        <v>627</v>
      </c>
      <c r="D7" s="246" t="s">
        <v>628</v>
      </c>
      <c r="E7" s="247"/>
      <c r="F7" s="246" t="s">
        <v>628</v>
      </c>
      <c r="G7" s="248" t="s">
        <v>629</v>
      </c>
      <c r="H7" s="249" t="s">
        <v>628</v>
      </c>
    </row>
    <row r="8" spans="2:8" ht="26.25" customHeight="1">
      <c r="B8" s="250" t="s">
        <v>630</v>
      </c>
      <c r="C8" s="251">
        <f>'11年減額'!A114</f>
        <v>99</v>
      </c>
      <c r="D8" s="252">
        <f>'11年減額'!P115</f>
        <v>-57005541</v>
      </c>
      <c r="E8" s="253" t="s">
        <v>631</v>
      </c>
      <c r="F8" s="254">
        <f>'11年減額'!T115</f>
        <v>-11614494</v>
      </c>
      <c r="G8" s="255" t="s">
        <v>632</v>
      </c>
      <c r="H8" s="256">
        <f>'11年減額'!S115</f>
        <v>-31039700</v>
      </c>
    </row>
    <row r="9" spans="2:8" ht="26.25" customHeight="1" thickBot="1">
      <c r="B9" s="257" t="s">
        <v>633</v>
      </c>
      <c r="C9" s="258">
        <f>'11年増額'!A57</f>
        <v>43</v>
      </c>
      <c r="D9" s="259">
        <f>'11年増額'!P59</f>
        <v>12214497</v>
      </c>
      <c r="E9" s="260" t="s">
        <v>634</v>
      </c>
      <c r="F9" s="261">
        <f>'11年増額'!T59</f>
        <v>11614494</v>
      </c>
      <c r="G9" s="262" t="s">
        <v>635</v>
      </c>
      <c r="H9" s="263">
        <v>0</v>
      </c>
    </row>
    <row r="10" spans="2:8" ht="26.25" customHeight="1" thickBot="1">
      <c r="B10" s="264" t="s">
        <v>636</v>
      </c>
      <c r="C10" s="265"/>
      <c r="D10" s="266">
        <f>D8+D9</f>
        <v>-44791044</v>
      </c>
      <c r="E10" s="267" t="s">
        <v>636</v>
      </c>
      <c r="F10" s="254">
        <f>F8+F9</f>
        <v>0</v>
      </c>
      <c r="G10" s="268" t="s">
        <v>637</v>
      </c>
      <c r="H10" s="269">
        <f>H8+H9</f>
        <v>-31039700</v>
      </c>
    </row>
    <row r="11" spans="2:8" ht="19.5" customHeight="1">
      <c r="B11" s="270"/>
      <c r="C11" s="271"/>
      <c r="D11" s="836"/>
      <c r="E11" s="836"/>
      <c r="F11" s="836"/>
      <c r="G11" s="836"/>
      <c r="H11" s="836"/>
    </row>
    <row r="12" spans="2:6" ht="27" customHeight="1" thickBot="1">
      <c r="B12" s="1" t="s">
        <v>638</v>
      </c>
      <c r="F12" t="s">
        <v>123</v>
      </c>
    </row>
    <row r="13" spans="2:8" ht="25.5" customHeight="1" thickBot="1">
      <c r="B13" s="244"/>
      <c r="C13" s="245" t="s">
        <v>627</v>
      </c>
      <c r="D13" s="246" t="s">
        <v>628</v>
      </c>
      <c r="E13" s="247"/>
      <c r="F13" s="246" t="s">
        <v>628</v>
      </c>
      <c r="G13" s="248" t="s">
        <v>629</v>
      </c>
      <c r="H13" s="249" t="s">
        <v>628</v>
      </c>
    </row>
    <row r="14" spans="2:8" ht="24.75" customHeight="1">
      <c r="B14" s="272" t="s">
        <v>630</v>
      </c>
      <c r="C14" s="721">
        <v>4</v>
      </c>
      <c r="D14" s="273">
        <f>'11年特別会計 '!F9+'11年特別会計 '!F28+'11年特別会計 '!F47</f>
        <v>-5724623</v>
      </c>
      <c r="E14" s="253" t="s">
        <v>639</v>
      </c>
      <c r="F14" s="274">
        <v>0</v>
      </c>
      <c r="G14" s="275" t="s">
        <v>632</v>
      </c>
      <c r="H14" s="276">
        <f>'11年特別会計 '!I17</f>
        <v>-3000000</v>
      </c>
    </row>
    <row r="15" spans="2:8" ht="24.75" customHeight="1" thickBot="1">
      <c r="B15" s="257" t="s">
        <v>633</v>
      </c>
      <c r="C15" s="258">
        <v>0</v>
      </c>
      <c r="D15" s="259">
        <v>0</v>
      </c>
      <c r="E15" s="262" t="s">
        <v>640</v>
      </c>
      <c r="F15" s="277">
        <v>0</v>
      </c>
      <c r="G15" s="262" t="s">
        <v>635</v>
      </c>
      <c r="H15" s="278">
        <v>0</v>
      </c>
    </row>
    <row r="16" spans="2:8" ht="24.75" customHeight="1" thickBot="1">
      <c r="B16" s="264" t="s">
        <v>636</v>
      </c>
      <c r="C16" s="265"/>
      <c r="D16" s="266">
        <f>D14-D15</f>
        <v>-5724623</v>
      </c>
      <c r="E16" s="268"/>
      <c r="F16" s="279">
        <v>0</v>
      </c>
      <c r="G16" s="268" t="s">
        <v>637</v>
      </c>
      <c r="H16" s="280">
        <f>H14+H15</f>
        <v>-3000000</v>
      </c>
    </row>
    <row r="17" spans="2:8" ht="15.75" customHeight="1">
      <c r="B17" s="25"/>
      <c r="C17" s="24"/>
      <c r="D17" s="281"/>
      <c r="E17" s="24"/>
      <c r="G17" s="282"/>
      <c r="H17" s="281"/>
    </row>
    <row r="18" spans="2:8" ht="15.75" customHeight="1">
      <c r="B18" s="24"/>
      <c r="C18" s="24"/>
      <c r="D18" s="281"/>
      <c r="E18" s="24"/>
      <c r="F18" s="283"/>
      <c r="G18" s="282"/>
      <c r="H18" s="281"/>
    </row>
    <row r="19" ht="28.5" customHeight="1" thickBot="1">
      <c r="B19" s="1" t="s">
        <v>641</v>
      </c>
    </row>
    <row r="20" spans="2:8" ht="29.25" customHeight="1">
      <c r="B20" s="843" t="s">
        <v>642</v>
      </c>
      <c r="C20" s="830"/>
      <c r="D20" s="826" t="s">
        <v>643</v>
      </c>
      <c r="E20" s="828" t="s">
        <v>644</v>
      </c>
      <c r="F20" s="829"/>
      <c r="G20" s="830"/>
      <c r="H20" s="284" t="s">
        <v>645</v>
      </c>
    </row>
    <row r="21" spans="2:8" ht="26.25" customHeight="1" thickBot="1">
      <c r="B21" s="844"/>
      <c r="C21" s="845"/>
      <c r="D21" s="827"/>
      <c r="E21" s="236"/>
      <c r="F21" s="285" t="s">
        <v>646</v>
      </c>
      <c r="G21" s="286" t="s">
        <v>647</v>
      </c>
      <c r="H21" s="287" t="s">
        <v>648</v>
      </c>
    </row>
    <row r="22" spans="2:8" ht="29.25" customHeight="1">
      <c r="B22" s="831" t="s">
        <v>649</v>
      </c>
      <c r="C22" s="832"/>
      <c r="D22" s="288" t="s">
        <v>338</v>
      </c>
      <c r="E22" s="289" t="s">
        <v>341</v>
      </c>
      <c r="F22" s="290" t="s">
        <v>344</v>
      </c>
      <c r="G22" s="291" t="s">
        <v>347</v>
      </c>
      <c r="H22" s="292" t="s">
        <v>348</v>
      </c>
    </row>
    <row r="23" spans="2:8" ht="29.25" customHeight="1">
      <c r="B23" s="837" t="s">
        <v>650</v>
      </c>
      <c r="C23" s="838"/>
      <c r="D23" s="293" t="s">
        <v>339</v>
      </c>
      <c r="E23" s="294" t="s">
        <v>342</v>
      </c>
      <c r="F23" s="295" t="s">
        <v>345</v>
      </c>
      <c r="G23" s="296" t="s">
        <v>651</v>
      </c>
      <c r="H23" s="297" t="s">
        <v>349</v>
      </c>
    </row>
    <row r="24" spans="2:8" ht="29.25" customHeight="1" thickBot="1">
      <c r="B24" s="839" t="s">
        <v>652</v>
      </c>
      <c r="C24" s="840"/>
      <c r="D24" s="298" t="s">
        <v>351</v>
      </c>
      <c r="E24" s="299" t="s">
        <v>653</v>
      </c>
      <c r="F24" s="300" t="s">
        <v>651</v>
      </c>
      <c r="G24" s="301" t="s">
        <v>651</v>
      </c>
      <c r="H24" s="302" t="s">
        <v>352</v>
      </c>
    </row>
    <row r="25" spans="2:8" ht="34.5" customHeight="1" thickBot="1">
      <c r="B25" s="841" t="s">
        <v>654</v>
      </c>
      <c r="C25" s="842"/>
      <c r="D25" s="303" t="s">
        <v>340</v>
      </c>
      <c r="E25" s="304" t="s">
        <v>343</v>
      </c>
      <c r="F25" s="305" t="s">
        <v>346</v>
      </c>
      <c r="G25" s="306" t="s">
        <v>347</v>
      </c>
      <c r="H25" s="307" t="s">
        <v>350</v>
      </c>
    </row>
    <row r="26" spans="5:7" ht="12.75" customHeight="1">
      <c r="E26" s="308"/>
      <c r="F26" s="308"/>
      <c r="G26" s="308"/>
    </row>
    <row r="27" ht="20.25" customHeight="1">
      <c r="B27" s="377" t="s">
        <v>232</v>
      </c>
    </row>
    <row r="28" ht="21.75" customHeight="1">
      <c r="B28" s="377" t="s">
        <v>655</v>
      </c>
    </row>
    <row r="30" ht="10.5" customHeight="1"/>
    <row r="31" ht="23.25" customHeight="1">
      <c r="B31" s="309" t="s">
        <v>665</v>
      </c>
    </row>
  </sheetData>
  <mergeCells count="11">
    <mergeCell ref="B23:C23"/>
    <mergeCell ref="B24:C24"/>
    <mergeCell ref="B25:C25"/>
    <mergeCell ref="B20:C21"/>
    <mergeCell ref="D20:D21"/>
    <mergeCell ref="E20:G20"/>
    <mergeCell ref="B22:C22"/>
    <mergeCell ref="F1:H1"/>
    <mergeCell ref="A2:H2"/>
    <mergeCell ref="A3:H3"/>
    <mergeCell ref="D11:H11"/>
  </mergeCells>
  <printOptions/>
  <pageMargins left="0.31" right="0.23" top="0.75" bottom="1" header="0.512" footer="0.51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2:K79"/>
  <sheetViews>
    <sheetView view="pageBreakPreview" zoomScaleSheetLayoutView="100" workbookViewId="0" topLeftCell="A1">
      <selection activeCell="A1" sqref="A1"/>
    </sheetView>
  </sheetViews>
  <sheetFormatPr defaultColWidth="9.00390625" defaultRowHeight="13.5"/>
  <cols>
    <col min="1" max="1" width="7.75390625" style="66" customWidth="1"/>
    <col min="2" max="2" width="8.625" style="66" customWidth="1"/>
    <col min="3" max="3" width="5.00390625" style="66" customWidth="1"/>
    <col min="4" max="4" width="10.50390625" style="66" customWidth="1"/>
    <col min="5" max="5" width="9.375" style="66" customWidth="1"/>
    <col min="6" max="6" width="10.875" style="66" customWidth="1"/>
    <col min="7" max="7" width="9.00390625" style="66" customWidth="1"/>
    <col min="8" max="8" width="12.25390625" style="66" customWidth="1"/>
    <col min="9" max="9" width="11.875" style="66" bestFit="1" customWidth="1"/>
    <col min="10" max="16384" width="9.00390625" style="66" customWidth="1"/>
  </cols>
  <sheetData>
    <row r="1" ht="8.25" customHeight="1"/>
    <row r="2" spans="1:10" ht="24">
      <c r="A2" s="672" t="s">
        <v>244</v>
      </c>
      <c r="B2" s="71"/>
      <c r="C2" s="72"/>
      <c r="D2" s="29"/>
      <c r="E2" s="29"/>
      <c r="F2" s="29"/>
      <c r="G2" s="29"/>
      <c r="H2" s="29"/>
      <c r="I2" s="881" t="s">
        <v>245</v>
      </c>
      <c r="J2" s="881"/>
    </row>
    <row r="3" spans="1:10" ht="17.25">
      <c r="A3" s="673" t="s">
        <v>436</v>
      </c>
      <c r="B3" s="75"/>
      <c r="C3" s="73"/>
      <c r="F3" s="76"/>
      <c r="H3" s="76"/>
      <c r="I3" s="881"/>
      <c r="J3" s="881"/>
    </row>
    <row r="4" spans="2:10" ht="14.25" thickBot="1">
      <c r="B4" s="73"/>
      <c r="C4" s="73"/>
      <c r="E4" s="77" t="s">
        <v>123</v>
      </c>
      <c r="F4" s="78" t="s">
        <v>122</v>
      </c>
      <c r="H4" s="79"/>
      <c r="I4" s="81"/>
      <c r="J4" s="81"/>
    </row>
    <row r="5" spans="1:10" ht="24" customHeight="1">
      <c r="A5" s="869" t="s">
        <v>121</v>
      </c>
      <c r="B5" s="871" t="s">
        <v>685</v>
      </c>
      <c r="C5" s="863" t="s">
        <v>686</v>
      </c>
      <c r="D5" s="865" t="s">
        <v>687</v>
      </c>
      <c r="E5" s="873" t="s">
        <v>119</v>
      </c>
      <c r="F5" s="875" t="s">
        <v>118</v>
      </c>
      <c r="G5" s="867"/>
      <c r="H5" s="867"/>
      <c r="I5" s="867"/>
      <c r="J5" s="867"/>
    </row>
    <row r="6" spans="1:10" ht="14.25" thickBot="1">
      <c r="A6" s="870"/>
      <c r="B6" s="872"/>
      <c r="C6" s="864"/>
      <c r="D6" s="866"/>
      <c r="E6" s="874"/>
      <c r="F6" s="876"/>
      <c r="G6" s="674"/>
      <c r="H6" s="28"/>
      <c r="I6" s="28"/>
      <c r="J6" s="28"/>
    </row>
    <row r="7" spans="1:10" ht="42" customHeight="1">
      <c r="A7" s="675" t="s">
        <v>433</v>
      </c>
      <c r="B7" s="386" t="s">
        <v>434</v>
      </c>
      <c r="C7" s="676"/>
      <c r="D7" s="353"/>
      <c r="E7" s="388">
        <v>2862557</v>
      </c>
      <c r="F7" s="677">
        <f>'11年増減額一覧表'!W85</f>
        <v>-1229405</v>
      </c>
      <c r="G7" s="678"/>
      <c r="H7" s="678"/>
      <c r="I7" s="678"/>
      <c r="J7" s="678"/>
    </row>
    <row r="8" spans="1:10" ht="36.75" thickBot="1">
      <c r="A8" s="679"/>
      <c r="B8" s="680" t="s">
        <v>688</v>
      </c>
      <c r="C8" s="387" t="s">
        <v>610</v>
      </c>
      <c r="D8" s="94"/>
      <c r="E8" s="681">
        <v>3000000</v>
      </c>
      <c r="F8" s="682">
        <v>-3000000</v>
      </c>
      <c r="G8" s="678"/>
      <c r="H8" s="678"/>
      <c r="I8" s="678"/>
      <c r="J8" s="678"/>
    </row>
    <row r="9" spans="1:10" ht="14.25" thickBot="1">
      <c r="A9" s="683" t="s">
        <v>156</v>
      </c>
      <c r="B9" s="684"/>
      <c r="C9" s="684"/>
      <c r="D9" s="685"/>
      <c r="E9" s="686">
        <f>SUM(E7:E8)</f>
        <v>5862557</v>
      </c>
      <c r="F9" s="687">
        <f>SUM(F7:F8)</f>
        <v>-4229405</v>
      </c>
      <c r="G9" s="678"/>
      <c r="H9" s="678"/>
      <c r="I9" s="678"/>
      <c r="J9" s="678"/>
    </row>
    <row r="10" spans="1:10" ht="13.5">
      <c r="A10" s="109"/>
      <c r="B10" s="109"/>
      <c r="C10" s="109"/>
      <c r="D10" s="109"/>
      <c r="E10" s="109"/>
      <c r="F10" s="109"/>
      <c r="G10" s="109"/>
      <c r="H10" s="109"/>
      <c r="I10" s="109"/>
      <c r="J10" s="109"/>
    </row>
    <row r="11" spans="1:10" ht="18" customHeight="1">
      <c r="A11" s="673" t="s">
        <v>158</v>
      </c>
      <c r="B11" s="109"/>
      <c r="C11" s="65"/>
      <c r="D11" s="109"/>
      <c r="E11" s="109"/>
      <c r="F11" s="688"/>
      <c r="G11" s="109"/>
      <c r="H11" s="688"/>
      <c r="I11" s="688"/>
      <c r="J11" s="689" t="s">
        <v>123</v>
      </c>
    </row>
    <row r="12" spans="1:10" ht="14.25" thickBot="1">
      <c r="A12" s="109"/>
      <c r="B12" s="109"/>
      <c r="C12" s="109"/>
      <c r="D12" s="109"/>
      <c r="E12" s="109"/>
      <c r="F12" s="109"/>
      <c r="G12" s="109"/>
      <c r="H12" s="109"/>
      <c r="I12" s="109"/>
      <c r="J12" s="109"/>
    </row>
    <row r="13" spans="1:10" ht="21.75" customHeight="1">
      <c r="A13" s="869" t="s">
        <v>121</v>
      </c>
      <c r="B13" s="871" t="s">
        <v>685</v>
      </c>
      <c r="C13" s="863" t="s">
        <v>435</v>
      </c>
      <c r="D13" s="865" t="s">
        <v>687</v>
      </c>
      <c r="E13" s="873" t="s">
        <v>119</v>
      </c>
      <c r="F13" s="877" t="s">
        <v>118</v>
      </c>
      <c r="G13" s="879" t="s">
        <v>117</v>
      </c>
      <c r="H13" s="852"/>
      <c r="I13" s="852"/>
      <c r="J13" s="853"/>
    </row>
    <row r="14" spans="1:10" ht="14.25" thickBot="1">
      <c r="A14" s="870"/>
      <c r="B14" s="872"/>
      <c r="C14" s="864"/>
      <c r="D14" s="866"/>
      <c r="E14" s="874"/>
      <c r="F14" s="878"/>
      <c r="G14" s="200" t="s">
        <v>115</v>
      </c>
      <c r="H14" s="201" t="s">
        <v>114</v>
      </c>
      <c r="I14" s="201" t="s">
        <v>113</v>
      </c>
      <c r="J14" s="202" t="s">
        <v>112</v>
      </c>
    </row>
    <row r="15" spans="1:10" ht="45" customHeight="1">
      <c r="A15" s="675" t="s">
        <v>437</v>
      </c>
      <c r="B15" s="386" t="s">
        <v>609</v>
      </c>
      <c r="C15" s="387" t="s">
        <v>613</v>
      </c>
      <c r="D15" s="353"/>
      <c r="E15" s="388">
        <v>3000000</v>
      </c>
      <c r="F15" s="389">
        <v>-3000000</v>
      </c>
      <c r="G15" s="390"/>
      <c r="H15" s="391"/>
      <c r="I15" s="391">
        <v>-3000000</v>
      </c>
      <c r="J15" s="392"/>
    </row>
    <row r="16" spans="1:10" ht="37.5" customHeight="1" thickBot="1">
      <c r="A16" s="679"/>
      <c r="B16" s="690" t="s">
        <v>611</v>
      </c>
      <c r="C16" s="387" t="s">
        <v>612</v>
      </c>
      <c r="D16" s="94"/>
      <c r="E16" s="681">
        <v>2862557</v>
      </c>
      <c r="F16" s="691">
        <f>'11年増減額一覧表'!W85</f>
        <v>-1229405</v>
      </c>
      <c r="G16" s="692"/>
      <c r="H16" s="693">
        <f>'11年増減額一覧表'!W85</f>
        <v>-1229405</v>
      </c>
      <c r="I16" s="693"/>
      <c r="J16" s="694"/>
    </row>
    <row r="17" spans="1:10" ht="14.25" thickBot="1">
      <c r="A17" s="683" t="s">
        <v>156</v>
      </c>
      <c r="B17" s="684"/>
      <c r="C17" s="684"/>
      <c r="D17" s="695"/>
      <c r="E17" s="686">
        <f aca="true" t="shared" si="0" ref="E17:J17">SUM(E15:E16)</f>
        <v>5862557</v>
      </c>
      <c r="F17" s="696">
        <f t="shared" si="0"/>
        <v>-4229405</v>
      </c>
      <c r="G17" s="697">
        <f t="shared" si="0"/>
        <v>0</v>
      </c>
      <c r="H17" s="698">
        <f t="shared" si="0"/>
        <v>-1229405</v>
      </c>
      <c r="I17" s="698">
        <f t="shared" si="0"/>
        <v>-3000000</v>
      </c>
      <c r="J17" s="699">
        <f t="shared" si="0"/>
        <v>0</v>
      </c>
    </row>
    <row r="18" spans="1:10" ht="13.5">
      <c r="A18" s="700"/>
      <c r="B18" s="700"/>
      <c r="C18" s="700"/>
      <c r="D18" s="700"/>
      <c r="E18" s="678"/>
      <c r="F18" s="678"/>
      <c r="G18" s="678"/>
      <c r="H18" s="678"/>
      <c r="I18" s="678"/>
      <c r="J18" s="678"/>
    </row>
    <row r="20" spans="1:11" ht="24">
      <c r="A20" s="672" t="s">
        <v>493</v>
      </c>
      <c r="B20" s="71"/>
      <c r="C20" s="72"/>
      <c r="D20" s="29"/>
      <c r="E20" s="29"/>
      <c r="F20" s="29"/>
      <c r="G20" s="29"/>
      <c r="H20" s="29"/>
      <c r="I20" s="29"/>
      <c r="J20" s="29"/>
      <c r="K20" s="25"/>
    </row>
    <row r="21" spans="1:11" ht="17.25">
      <c r="A21" s="673" t="s">
        <v>436</v>
      </c>
      <c r="B21" s="75"/>
      <c r="C21" s="73"/>
      <c r="F21" s="76"/>
      <c r="H21" s="76"/>
      <c r="I21" s="76"/>
      <c r="K21" s="25"/>
    </row>
    <row r="22" spans="2:11" ht="14.25" thickBot="1">
      <c r="B22" s="73"/>
      <c r="C22" s="73"/>
      <c r="E22" s="77" t="s">
        <v>123</v>
      </c>
      <c r="F22" s="78" t="s">
        <v>122</v>
      </c>
      <c r="H22" s="79"/>
      <c r="I22" s="81"/>
      <c r="J22" s="81"/>
      <c r="K22" s="25"/>
    </row>
    <row r="23" spans="1:11" ht="13.5">
      <c r="A23" s="869" t="s">
        <v>121</v>
      </c>
      <c r="B23" s="871" t="s">
        <v>685</v>
      </c>
      <c r="C23" s="863" t="s">
        <v>686</v>
      </c>
      <c r="D23" s="865" t="s">
        <v>687</v>
      </c>
      <c r="E23" s="873" t="s">
        <v>119</v>
      </c>
      <c r="F23" s="875" t="s">
        <v>118</v>
      </c>
      <c r="G23" s="867"/>
      <c r="H23" s="867"/>
      <c r="I23" s="867"/>
      <c r="J23" s="867"/>
      <c r="K23" s="25"/>
    </row>
    <row r="24" spans="1:11" ht="14.25" thickBot="1">
      <c r="A24" s="870"/>
      <c r="B24" s="872"/>
      <c r="C24" s="864"/>
      <c r="D24" s="866"/>
      <c r="E24" s="874"/>
      <c r="F24" s="876"/>
      <c r="G24" s="674"/>
      <c r="H24" s="28"/>
      <c r="I24" s="28"/>
      <c r="J24" s="28"/>
      <c r="K24" s="25"/>
    </row>
    <row r="25" spans="1:11" ht="45" customHeight="1">
      <c r="A25" s="675" t="s">
        <v>166</v>
      </c>
      <c r="B25" s="386" t="s">
        <v>434</v>
      </c>
      <c r="C25" s="676"/>
      <c r="D25" s="353" t="s">
        <v>805</v>
      </c>
      <c r="E25" s="388">
        <v>2196060</v>
      </c>
      <c r="F25" s="677">
        <f>'11年増減額一覧表'!W27</f>
        <v>-1098030</v>
      </c>
      <c r="G25" s="678"/>
      <c r="H25" s="678"/>
      <c r="I25" s="678"/>
      <c r="J25" s="678"/>
      <c r="K25" s="25"/>
    </row>
    <row r="26" spans="1:11" ht="14.25" customHeight="1">
      <c r="A26" s="701"/>
      <c r="B26" s="702"/>
      <c r="C26" s="703"/>
      <c r="D26" s="704"/>
      <c r="E26" s="705"/>
      <c r="F26" s="706"/>
      <c r="G26" s="678"/>
      <c r="H26" s="678"/>
      <c r="I26" s="678"/>
      <c r="J26" s="678"/>
      <c r="K26" s="25"/>
    </row>
    <row r="27" spans="1:11" ht="14.25" customHeight="1" thickBot="1">
      <c r="A27" s="679"/>
      <c r="B27" s="680"/>
      <c r="C27" s="387"/>
      <c r="D27" s="94"/>
      <c r="E27" s="681"/>
      <c r="F27" s="682"/>
      <c r="G27" s="678"/>
      <c r="H27" s="678"/>
      <c r="I27" s="678"/>
      <c r="J27" s="678"/>
      <c r="K27" s="25"/>
    </row>
    <row r="28" spans="1:11" ht="14.25" thickBot="1">
      <c r="A28" s="683" t="s">
        <v>156</v>
      </c>
      <c r="B28" s="684"/>
      <c r="C28" s="684"/>
      <c r="D28" s="685"/>
      <c r="E28" s="686">
        <f>SUM(E25:E27)</f>
        <v>2196060</v>
      </c>
      <c r="F28" s="687">
        <f>SUM(F25:F27)</f>
        <v>-1098030</v>
      </c>
      <c r="G28" s="678"/>
      <c r="H28" s="678"/>
      <c r="I28" s="678"/>
      <c r="J28" s="678"/>
      <c r="K28" s="25"/>
    </row>
    <row r="29" spans="1:11" ht="13.5">
      <c r="A29" s="109"/>
      <c r="B29" s="109"/>
      <c r="C29" s="109"/>
      <c r="D29" s="109"/>
      <c r="E29" s="109"/>
      <c r="F29" s="109"/>
      <c r="G29" s="109"/>
      <c r="H29" s="109"/>
      <c r="I29" s="109"/>
      <c r="J29" s="109"/>
      <c r="K29" s="25"/>
    </row>
    <row r="30" spans="1:11" ht="13.5">
      <c r="A30" s="707" t="s">
        <v>158</v>
      </c>
      <c r="B30" s="109"/>
      <c r="C30" s="65"/>
      <c r="D30" s="109"/>
      <c r="E30" s="109"/>
      <c r="F30" s="688"/>
      <c r="G30" s="109"/>
      <c r="H30" s="688"/>
      <c r="I30" s="688"/>
      <c r="J30" s="689" t="s">
        <v>123</v>
      </c>
      <c r="K30" s="25"/>
    </row>
    <row r="31" spans="1:11" ht="14.25" thickBot="1">
      <c r="A31" s="109"/>
      <c r="B31" s="109"/>
      <c r="C31" s="109"/>
      <c r="D31" s="109"/>
      <c r="E31" s="109"/>
      <c r="F31" s="109"/>
      <c r="G31" s="109"/>
      <c r="H31" s="109"/>
      <c r="I31" s="109"/>
      <c r="J31" s="109"/>
      <c r="K31" s="25"/>
    </row>
    <row r="32" spans="1:11" ht="13.5">
      <c r="A32" s="869" t="s">
        <v>121</v>
      </c>
      <c r="B32" s="871" t="s">
        <v>685</v>
      </c>
      <c r="C32" s="863" t="s">
        <v>435</v>
      </c>
      <c r="D32" s="865" t="s">
        <v>687</v>
      </c>
      <c r="E32" s="873" t="s">
        <v>119</v>
      </c>
      <c r="F32" s="877" t="s">
        <v>118</v>
      </c>
      <c r="G32" s="879" t="s">
        <v>117</v>
      </c>
      <c r="H32" s="852"/>
      <c r="I32" s="852"/>
      <c r="J32" s="853"/>
      <c r="K32" s="25"/>
    </row>
    <row r="33" spans="1:11" ht="14.25" thickBot="1">
      <c r="A33" s="870"/>
      <c r="B33" s="872"/>
      <c r="C33" s="864"/>
      <c r="D33" s="866"/>
      <c r="E33" s="874"/>
      <c r="F33" s="878"/>
      <c r="G33" s="200" t="s">
        <v>115</v>
      </c>
      <c r="H33" s="201" t="s">
        <v>114</v>
      </c>
      <c r="I33" s="201" t="s">
        <v>113</v>
      </c>
      <c r="J33" s="202" t="s">
        <v>112</v>
      </c>
      <c r="K33" s="25"/>
    </row>
    <row r="34" spans="1:11" ht="45" customHeight="1">
      <c r="A34" s="675" t="s">
        <v>167</v>
      </c>
      <c r="B34" s="386" t="s">
        <v>168</v>
      </c>
      <c r="C34" s="387" t="s">
        <v>789</v>
      </c>
      <c r="D34" s="353"/>
      <c r="E34" s="388">
        <v>2196060</v>
      </c>
      <c r="F34" s="389">
        <f>'11年増減額一覧表'!W27</f>
        <v>-1098030</v>
      </c>
      <c r="G34" s="390"/>
      <c r="H34" s="391">
        <f>F34</f>
        <v>-1098030</v>
      </c>
      <c r="I34" s="391"/>
      <c r="J34" s="392"/>
      <c r="K34" s="25"/>
    </row>
    <row r="35" spans="1:11" ht="12" customHeight="1">
      <c r="A35" s="701"/>
      <c r="B35" s="703"/>
      <c r="C35" s="708"/>
      <c r="D35" s="704"/>
      <c r="E35" s="705"/>
      <c r="F35" s="709"/>
      <c r="G35" s="710"/>
      <c r="H35" s="711"/>
      <c r="I35" s="711"/>
      <c r="J35" s="712"/>
      <c r="K35" s="25"/>
    </row>
    <row r="36" spans="1:11" ht="12" customHeight="1" thickBot="1">
      <c r="A36" s="679"/>
      <c r="B36" s="690"/>
      <c r="C36" s="690"/>
      <c r="D36" s="94"/>
      <c r="E36" s="681"/>
      <c r="F36" s="691"/>
      <c r="G36" s="692"/>
      <c r="H36" s="693"/>
      <c r="I36" s="693"/>
      <c r="J36" s="694"/>
      <c r="K36" s="25"/>
    </row>
    <row r="37" spans="1:11" ht="14.25" thickBot="1">
      <c r="A37" s="683" t="s">
        <v>156</v>
      </c>
      <c r="B37" s="684"/>
      <c r="C37" s="684"/>
      <c r="D37" s="695"/>
      <c r="E37" s="686">
        <f>SUM(E34:E36)</f>
        <v>2196060</v>
      </c>
      <c r="F37" s="696">
        <f>SUM(F34:F36)</f>
        <v>-1098030</v>
      </c>
      <c r="G37" s="697"/>
      <c r="H37" s="698">
        <f>SUM(H34:H36)</f>
        <v>-1098030</v>
      </c>
      <c r="I37" s="698"/>
      <c r="J37" s="699"/>
      <c r="K37" s="25"/>
    </row>
    <row r="38" spans="1:11" ht="11.25" customHeight="1">
      <c r="A38" s="700"/>
      <c r="B38" s="700"/>
      <c r="C38" s="700"/>
      <c r="D38" s="700"/>
      <c r="E38" s="700"/>
      <c r="F38" s="700"/>
      <c r="G38" s="700"/>
      <c r="H38" s="700"/>
      <c r="I38" s="700"/>
      <c r="J38" s="700"/>
      <c r="K38" s="25"/>
    </row>
    <row r="39" spans="1:11" ht="6.75" customHeight="1">
      <c r="A39" s="713"/>
      <c r="B39" s="700"/>
      <c r="C39" s="700"/>
      <c r="D39" s="700"/>
      <c r="E39" s="700"/>
      <c r="F39" s="700"/>
      <c r="G39" s="700"/>
      <c r="H39" s="700"/>
      <c r="I39" s="700"/>
      <c r="J39" s="700"/>
      <c r="K39" s="25"/>
    </row>
    <row r="40" spans="1:11" ht="21.75" customHeight="1">
      <c r="A40" s="672" t="s">
        <v>494</v>
      </c>
      <c r="B40" s="71"/>
      <c r="C40" s="72"/>
      <c r="D40" s="29"/>
      <c r="E40" s="29"/>
      <c r="F40" s="29"/>
      <c r="G40" s="29"/>
      <c r="H40" s="29"/>
      <c r="I40" s="29"/>
      <c r="J40" s="29"/>
      <c r="K40" s="25"/>
    </row>
    <row r="41" spans="1:11" ht="17.25">
      <c r="A41" s="673" t="s">
        <v>436</v>
      </c>
      <c r="B41" s="75"/>
      <c r="C41" s="73"/>
      <c r="F41" s="76"/>
      <c r="H41" s="76"/>
      <c r="I41" s="76"/>
      <c r="K41" s="25"/>
    </row>
    <row r="42" spans="2:11" ht="14.25" thickBot="1">
      <c r="B42" s="73"/>
      <c r="C42" s="73"/>
      <c r="E42" s="77" t="s">
        <v>123</v>
      </c>
      <c r="F42" s="78" t="s">
        <v>122</v>
      </c>
      <c r="H42" s="79"/>
      <c r="I42" s="81"/>
      <c r="J42" s="81"/>
      <c r="K42" s="25"/>
    </row>
    <row r="43" spans="1:11" ht="13.5">
      <c r="A43" s="869" t="s">
        <v>121</v>
      </c>
      <c r="B43" s="871" t="s">
        <v>685</v>
      </c>
      <c r="C43" s="863" t="s">
        <v>686</v>
      </c>
      <c r="D43" s="865" t="s">
        <v>687</v>
      </c>
      <c r="E43" s="873" t="s">
        <v>119</v>
      </c>
      <c r="F43" s="875" t="s">
        <v>118</v>
      </c>
      <c r="G43" s="867"/>
      <c r="H43" s="867"/>
      <c r="I43" s="867"/>
      <c r="J43" s="867"/>
      <c r="K43" s="25"/>
    </row>
    <row r="44" spans="1:11" ht="14.25" thickBot="1">
      <c r="A44" s="870"/>
      <c r="B44" s="872"/>
      <c r="C44" s="864"/>
      <c r="D44" s="866"/>
      <c r="E44" s="874"/>
      <c r="F44" s="876"/>
      <c r="G44" s="674"/>
      <c r="H44" s="28"/>
      <c r="I44" s="28"/>
      <c r="J44" s="28"/>
      <c r="K44" s="25"/>
    </row>
    <row r="45" spans="1:11" ht="45" customHeight="1">
      <c r="A45" s="675" t="s">
        <v>815</v>
      </c>
      <c r="B45" s="386"/>
      <c r="C45" s="714"/>
      <c r="D45" s="353" t="s">
        <v>719</v>
      </c>
      <c r="E45" s="388">
        <v>2862557</v>
      </c>
      <c r="F45" s="677">
        <f>'11年増減額一覧表'!W85</f>
        <v>-1229405</v>
      </c>
      <c r="G45" s="678"/>
      <c r="H45" s="678"/>
      <c r="I45" s="678"/>
      <c r="J45" s="678"/>
      <c r="K45" s="25"/>
    </row>
    <row r="46" spans="1:11" ht="14.25" thickBot="1">
      <c r="A46" s="679"/>
      <c r="B46" s="680"/>
      <c r="C46" s="387"/>
      <c r="D46" s="94"/>
      <c r="E46" s="681"/>
      <c r="F46" s="682"/>
      <c r="G46" s="678"/>
      <c r="H46" s="678"/>
      <c r="I46" s="678"/>
      <c r="J46" s="678"/>
      <c r="K46" s="25"/>
    </row>
    <row r="47" spans="1:11" ht="14.25" thickBot="1">
      <c r="A47" s="683" t="s">
        <v>156</v>
      </c>
      <c r="B47" s="684"/>
      <c r="C47" s="684"/>
      <c r="D47" s="685"/>
      <c r="E47" s="686">
        <f>SUM(E45:E46)</f>
        <v>2862557</v>
      </c>
      <c r="F47" s="687">
        <f>SUM(F45:F46)</f>
        <v>-1229405</v>
      </c>
      <c r="G47" s="678"/>
      <c r="H47" s="678"/>
      <c r="I47" s="678"/>
      <c r="J47" s="678"/>
      <c r="K47" s="25"/>
    </row>
    <row r="48" spans="1:11" ht="13.5">
      <c r="A48" s="109"/>
      <c r="B48" s="109"/>
      <c r="C48" s="109"/>
      <c r="D48" s="109"/>
      <c r="E48" s="109"/>
      <c r="F48" s="109"/>
      <c r="G48" s="109"/>
      <c r="H48" s="109"/>
      <c r="I48" s="109"/>
      <c r="J48" s="109"/>
      <c r="K48" s="25"/>
    </row>
    <row r="49" spans="1:11" ht="18.75" customHeight="1">
      <c r="A49" s="673" t="s">
        <v>158</v>
      </c>
      <c r="B49" s="109"/>
      <c r="C49" s="65"/>
      <c r="D49" s="109"/>
      <c r="E49" s="109"/>
      <c r="F49" s="688"/>
      <c r="G49" s="109"/>
      <c r="H49" s="688"/>
      <c r="I49" s="688"/>
      <c r="J49" s="689" t="s">
        <v>123</v>
      </c>
      <c r="K49" s="25"/>
    </row>
    <row r="50" spans="1:11" ht="14.25" thickBot="1">
      <c r="A50" s="109"/>
      <c r="B50" s="109"/>
      <c r="C50" s="109"/>
      <c r="D50" s="109"/>
      <c r="E50" s="109"/>
      <c r="F50" s="109"/>
      <c r="G50" s="109"/>
      <c r="H50" s="109"/>
      <c r="I50" s="109"/>
      <c r="J50" s="109"/>
      <c r="K50" s="25"/>
    </row>
    <row r="51" spans="1:11" ht="13.5">
      <c r="A51" s="869" t="s">
        <v>121</v>
      </c>
      <c r="B51" s="871" t="s">
        <v>685</v>
      </c>
      <c r="C51" s="863" t="s">
        <v>435</v>
      </c>
      <c r="D51" s="865" t="s">
        <v>687</v>
      </c>
      <c r="E51" s="873" t="s">
        <v>119</v>
      </c>
      <c r="F51" s="877" t="s">
        <v>118</v>
      </c>
      <c r="G51" s="879" t="s">
        <v>117</v>
      </c>
      <c r="H51" s="852"/>
      <c r="I51" s="852"/>
      <c r="J51" s="853"/>
      <c r="K51" s="25"/>
    </row>
    <row r="52" spans="1:11" ht="14.25" thickBot="1">
      <c r="A52" s="870"/>
      <c r="B52" s="872"/>
      <c r="C52" s="864"/>
      <c r="D52" s="866"/>
      <c r="E52" s="874"/>
      <c r="F52" s="878"/>
      <c r="G52" s="200" t="s">
        <v>115</v>
      </c>
      <c r="H52" s="201" t="s">
        <v>114</v>
      </c>
      <c r="I52" s="201" t="s">
        <v>113</v>
      </c>
      <c r="J52" s="202" t="s">
        <v>112</v>
      </c>
      <c r="K52" s="25"/>
    </row>
    <row r="53" spans="1:11" ht="45" customHeight="1">
      <c r="A53" s="675" t="s">
        <v>816</v>
      </c>
      <c r="B53" s="386" t="s">
        <v>611</v>
      </c>
      <c r="C53" s="387"/>
      <c r="D53" s="353"/>
      <c r="E53" s="388">
        <v>649433365</v>
      </c>
      <c r="F53" s="389">
        <f>'11年増減額一覧表'!W85</f>
        <v>-1229405</v>
      </c>
      <c r="G53" s="390"/>
      <c r="H53" s="391">
        <f>'11年増減額一覧表'!W85</f>
        <v>-1229405</v>
      </c>
      <c r="I53" s="391"/>
      <c r="J53" s="392"/>
      <c r="K53" s="25"/>
    </row>
    <row r="54" spans="1:11" ht="14.25" thickBot="1">
      <c r="A54" s="679"/>
      <c r="B54" s="690"/>
      <c r="C54" s="387"/>
      <c r="D54" s="94"/>
      <c r="E54" s="681"/>
      <c r="F54" s="691"/>
      <c r="G54" s="692"/>
      <c r="H54" s="693"/>
      <c r="I54" s="693"/>
      <c r="J54" s="694"/>
      <c r="K54" s="25"/>
    </row>
    <row r="55" spans="1:11" ht="15.75" customHeight="1" thickBot="1">
      <c r="A55" s="683" t="s">
        <v>156</v>
      </c>
      <c r="B55" s="684"/>
      <c r="C55" s="684"/>
      <c r="D55" s="695"/>
      <c r="E55" s="686">
        <f aca="true" t="shared" si="1" ref="E55:J55">SUM(E53:E54)</f>
        <v>649433365</v>
      </c>
      <c r="F55" s="696">
        <f t="shared" si="1"/>
        <v>-1229405</v>
      </c>
      <c r="G55" s="697">
        <f t="shared" si="1"/>
        <v>0</v>
      </c>
      <c r="H55" s="698">
        <f t="shared" si="1"/>
        <v>-1229405</v>
      </c>
      <c r="I55" s="698">
        <f t="shared" si="1"/>
        <v>0</v>
      </c>
      <c r="J55" s="699">
        <f t="shared" si="1"/>
        <v>0</v>
      </c>
      <c r="K55" s="25"/>
    </row>
    <row r="56" spans="1:11" ht="13.5">
      <c r="A56" s="700"/>
      <c r="B56" s="700"/>
      <c r="C56" s="700"/>
      <c r="D56" s="700"/>
      <c r="E56" s="678"/>
      <c r="F56" s="678"/>
      <c r="G56" s="678"/>
      <c r="H56" s="678"/>
      <c r="I56" s="678"/>
      <c r="J56" s="678"/>
      <c r="K56" s="25"/>
    </row>
    <row r="57" spans="1:11" ht="13.5">
      <c r="A57" s="700"/>
      <c r="B57" s="700"/>
      <c r="C57" s="700"/>
      <c r="D57" s="700"/>
      <c r="E57" s="700"/>
      <c r="F57" s="700"/>
      <c r="G57" s="700"/>
      <c r="H57" s="700"/>
      <c r="I57" s="700"/>
      <c r="J57" s="700"/>
      <c r="K57" s="25"/>
    </row>
    <row r="58" spans="1:11" ht="13.5">
      <c r="A58" s="700"/>
      <c r="B58" s="700"/>
      <c r="C58" s="700"/>
      <c r="D58" s="700"/>
      <c r="E58" s="700"/>
      <c r="F58" s="700"/>
      <c r="G58" s="700"/>
      <c r="H58" s="700"/>
      <c r="I58" s="700"/>
      <c r="J58" s="700"/>
      <c r="K58" s="25"/>
    </row>
    <row r="59" spans="1:11" ht="17.25">
      <c r="A59" s="713"/>
      <c r="B59" s="700"/>
      <c r="C59" s="700"/>
      <c r="D59" s="700"/>
      <c r="E59" s="700"/>
      <c r="F59" s="700"/>
      <c r="G59" s="700"/>
      <c r="H59" s="700"/>
      <c r="I59" s="700"/>
      <c r="J59" s="700"/>
      <c r="K59" s="25"/>
    </row>
    <row r="60" spans="1:11" ht="13.5">
      <c r="A60" s="715"/>
      <c r="B60" s="700"/>
      <c r="C60" s="716"/>
      <c r="D60" s="700"/>
      <c r="E60" s="700"/>
      <c r="F60" s="678"/>
      <c r="G60" s="700"/>
      <c r="H60" s="678"/>
      <c r="I60" s="678"/>
      <c r="J60" s="25"/>
      <c r="K60" s="25"/>
    </row>
    <row r="61" spans="1:11" ht="13.5">
      <c r="A61" s="700"/>
      <c r="B61" s="716"/>
      <c r="C61" s="716"/>
      <c r="D61" s="700"/>
      <c r="E61" s="717"/>
      <c r="F61" s="718"/>
      <c r="G61" s="700"/>
      <c r="H61" s="719"/>
      <c r="I61" s="720"/>
      <c r="J61" s="720"/>
      <c r="K61" s="25"/>
    </row>
    <row r="62" spans="1:11" ht="13.5">
      <c r="A62" s="867"/>
      <c r="B62" s="868"/>
      <c r="C62" s="867"/>
      <c r="D62" s="868"/>
      <c r="E62" s="868"/>
      <c r="F62" s="880"/>
      <c r="G62" s="867"/>
      <c r="H62" s="867"/>
      <c r="I62" s="867"/>
      <c r="J62" s="867"/>
      <c r="K62" s="25"/>
    </row>
    <row r="63" spans="1:11" ht="13.5">
      <c r="A63" s="867"/>
      <c r="B63" s="868"/>
      <c r="C63" s="867"/>
      <c r="D63" s="868"/>
      <c r="E63" s="868"/>
      <c r="F63" s="880"/>
      <c r="G63" s="674"/>
      <c r="H63" s="28"/>
      <c r="I63" s="28"/>
      <c r="J63" s="28"/>
      <c r="K63" s="25"/>
    </row>
    <row r="64" spans="1:11" ht="13.5">
      <c r="A64" s="148"/>
      <c r="B64" s="148"/>
      <c r="C64" s="148"/>
      <c r="D64" s="148"/>
      <c r="E64" s="678"/>
      <c r="F64" s="678"/>
      <c r="G64" s="678"/>
      <c r="H64" s="678"/>
      <c r="I64" s="678"/>
      <c r="J64" s="678"/>
      <c r="K64" s="25"/>
    </row>
    <row r="65" spans="1:11" ht="13.5">
      <c r="A65" s="700"/>
      <c r="B65" s="700"/>
      <c r="C65" s="700"/>
      <c r="D65" s="700"/>
      <c r="E65" s="678"/>
      <c r="F65" s="678"/>
      <c r="G65" s="678"/>
      <c r="H65" s="678"/>
      <c r="I65" s="678"/>
      <c r="J65" s="678"/>
      <c r="K65" s="25"/>
    </row>
    <row r="66" spans="1:11" ht="13.5">
      <c r="A66" s="700"/>
      <c r="B66" s="700"/>
      <c r="C66" s="700"/>
      <c r="D66" s="700"/>
      <c r="E66" s="678"/>
      <c r="F66" s="678"/>
      <c r="G66" s="678"/>
      <c r="H66" s="678"/>
      <c r="I66" s="678"/>
      <c r="J66" s="678"/>
      <c r="K66" s="25"/>
    </row>
    <row r="67" spans="1:11" ht="13.5">
      <c r="A67" s="700"/>
      <c r="B67" s="700"/>
      <c r="C67" s="700"/>
      <c r="D67" s="700"/>
      <c r="E67" s="678"/>
      <c r="F67" s="678"/>
      <c r="G67" s="678"/>
      <c r="H67" s="678"/>
      <c r="I67" s="678"/>
      <c r="J67" s="678"/>
      <c r="K67" s="25"/>
    </row>
    <row r="68" spans="1:11" ht="13.5">
      <c r="A68" s="700"/>
      <c r="B68" s="700"/>
      <c r="C68" s="700"/>
      <c r="D68" s="700"/>
      <c r="E68" s="700"/>
      <c r="F68" s="700"/>
      <c r="G68" s="700"/>
      <c r="H68" s="700"/>
      <c r="I68" s="700"/>
      <c r="J68" s="700"/>
      <c r="K68" s="25"/>
    </row>
    <row r="69" spans="1:11" ht="13.5">
      <c r="A69" s="715"/>
      <c r="B69" s="700"/>
      <c r="C69" s="716"/>
      <c r="D69" s="700"/>
      <c r="E69" s="700"/>
      <c r="F69" s="678"/>
      <c r="G69" s="700"/>
      <c r="H69" s="678"/>
      <c r="I69" s="678"/>
      <c r="J69" s="717"/>
      <c r="K69" s="25"/>
    </row>
    <row r="70" spans="1:11" ht="13.5">
      <c r="A70" s="700"/>
      <c r="B70" s="700"/>
      <c r="C70" s="700"/>
      <c r="D70" s="700"/>
      <c r="E70" s="700"/>
      <c r="F70" s="700"/>
      <c r="G70" s="700"/>
      <c r="H70" s="700"/>
      <c r="I70" s="700"/>
      <c r="J70" s="700"/>
      <c r="K70" s="25"/>
    </row>
    <row r="71" spans="1:11" ht="13.5">
      <c r="A71" s="867"/>
      <c r="B71" s="868"/>
      <c r="C71" s="867"/>
      <c r="D71" s="868"/>
      <c r="E71" s="868"/>
      <c r="F71" s="880"/>
      <c r="G71" s="867"/>
      <c r="H71" s="867"/>
      <c r="I71" s="867"/>
      <c r="J71" s="867"/>
      <c r="K71" s="25"/>
    </row>
    <row r="72" spans="1:11" ht="13.5">
      <c r="A72" s="867"/>
      <c r="B72" s="868"/>
      <c r="C72" s="867"/>
      <c r="D72" s="868"/>
      <c r="E72" s="868"/>
      <c r="F72" s="880"/>
      <c r="G72" s="674"/>
      <c r="H72" s="28"/>
      <c r="I72" s="28"/>
      <c r="J72" s="28"/>
      <c r="K72" s="25"/>
    </row>
    <row r="73" spans="1:11" ht="13.5">
      <c r="A73" s="148"/>
      <c r="B73" s="148"/>
      <c r="C73" s="148"/>
      <c r="D73" s="148"/>
      <c r="E73" s="678"/>
      <c r="F73" s="678"/>
      <c r="G73" s="678"/>
      <c r="H73" s="678"/>
      <c r="I73" s="678"/>
      <c r="J73" s="678"/>
      <c r="K73" s="25"/>
    </row>
    <row r="74" spans="1:11" ht="13.5">
      <c r="A74" s="700"/>
      <c r="B74" s="148"/>
      <c r="C74" s="700"/>
      <c r="D74" s="148"/>
      <c r="E74" s="678"/>
      <c r="F74" s="678"/>
      <c r="G74" s="678"/>
      <c r="H74" s="678"/>
      <c r="I74" s="678"/>
      <c r="J74" s="678"/>
      <c r="K74" s="25"/>
    </row>
    <row r="75" spans="1:11" ht="13.5">
      <c r="A75" s="700"/>
      <c r="B75" s="148"/>
      <c r="C75" s="700"/>
      <c r="D75" s="700"/>
      <c r="E75" s="678"/>
      <c r="F75" s="678"/>
      <c r="G75" s="678"/>
      <c r="H75" s="678"/>
      <c r="I75" s="678"/>
      <c r="J75" s="678"/>
      <c r="K75" s="25"/>
    </row>
    <row r="76" spans="1:11" ht="13.5">
      <c r="A76" s="700"/>
      <c r="B76" s="700"/>
      <c r="C76" s="700"/>
      <c r="D76" s="700"/>
      <c r="E76" s="678"/>
      <c r="F76" s="678"/>
      <c r="G76" s="678"/>
      <c r="H76" s="678"/>
      <c r="I76" s="678"/>
      <c r="J76" s="678"/>
      <c r="K76" s="25"/>
    </row>
    <row r="77" spans="1:11" ht="13.5">
      <c r="A77" s="25"/>
      <c r="B77" s="25"/>
      <c r="C77" s="25"/>
      <c r="D77" s="25"/>
      <c r="E77" s="25"/>
      <c r="F77" s="25"/>
      <c r="G77" s="25"/>
      <c r="H77" s="25"/>
      <c r="I77" s="25"/>
      <c r="J77" s="25"/>
      <c r="K77" s="25"/>
    </row>
    <row r="78" spans="1:11" ht="13.5">
      <c r="A78" s="25"/>
      <c r="B78" s="25"/>
      <c r="C78" s="25"/>
      <c r="D78" s="25"/>
      <c r="E78" s="25"/>
      <c r="F78" s="25"/>
      <c r="G78" s="25"/>
      <c r="H78" s="25"/>
      <c r="I78" s="25"/>
      <c r="J78" s="25"/>
      <c r="K78" s="25"/>
    </row>
    <row r="79" spans="1:11" ht="13.5">
      <c r="A79" s="25"/>
      <c r="B79" s="25"/>
      <c r="C79" s="25"/>
      <c r="D79" s="25"/>
      <c r="E79" s="25"/>
      <c r="F79" s="25"/>
      <c r="G79" s="25"/>
      <c r="H79" s="25"/>
      <c r="I79" s="25"/>
      <c r="J79" s="25"/>
      <c r="K79" s="25"/>
    </row>
  </sheetData>
  <mergeCells count="57">
    <mergeCell ref="C23:C24"/>
    <mergeCell ref="D23:D24"/>
    <mergeCell ref="C32:C33"/>
    <mergeCell ref="D32:D33"/>
    <mergeCell ref="A71:A72"/>
    <mergeCell ref="B71:B72"/>
    <mergeCell ref="C71:C72"/>
    <mergeCell ref="D71:D72"/>
    <mergeCell ref="A51:A52"/>
    <mergeCell ref="B51:B52"/>
    <mergeCell ref="C51:C52"/>
    <mergeCell ref="D51:D52"/>
    <mergeCell ref="A43:A44"/>
    <mergeCell ref="A5:A6"/>
    <mergeCell ref="B5:B6"/>
    <mergeCell ref="C5:C6"/>
    <mergeCell ref="B43:B44"/>
    <mergeCell ref="C43:C44"/>
    <mergeCell ref="A23:A24"/>
    <mergeCell ref="B23:B24"/>
    <mergeCell ref="A32:A33"/>
    <mergeCell ref="B32:B33"/>
    <mergeCell ref="D5:D6"/>
    <mergeCell ref="A13:A14"/>
    <mergeCell ref="B13:B14"/>
    <mergeCell ref="C13:C14"/>
    <mergeCell ref="D13:D14"/>
    <mergeCell ref="G71:J71"/>
    <mergeCell ref="E5:E6"/>
    <mergeCell ref="F5:F6"/>
    <mergeCell ref="G5:J5"/>
    <mergeCell ref="E13:E14"/>
    <mergeCell ref="F13:F14"/>
    <mergeCell ref="G13:J13"/>
    <mergeCell ref="E71:E72"/>
    <mergeCell ref="F71:F72"/>
    <mergeCell ref="E62:E63"/>
    <mergeCell ref="G62:J62"/>
    <mergeCell ref="A62:A63"/>
    <mergeCell ref="B62:B63"/>
    <mergeCell ref="C62:C63"/>
    <mergeCell ref="D62:D63"/>
    <mergeCell ref="F62:F63"/>
    <mergeCell ref="D43:D44"/>
    <mergeCell ref="E51:E52"/>
    <mergeCell ref="F51:F52"/>
    <mergeCell ref="G51:J51"/>
    <mergeCell ref="I2:J3"/>
    <mergeCell ref="E43:E44"/>
    <mergeCell ref="F43:F44"/>
    <mergeCell ref="G43:J43"/>
    <mergeCell ref="G23:J23"/>
    <mergeCell ref="G32:J32"/>
    <mergeCell ref="E23:E24"/>
    <mergeCell ref="F23:F24"/>
    <mergeCell ref="E32:E33"/>
    <mergeCell ref="F32:F33"/>
  </mergeCells>
  <printOptions/>
  <pageMargins left="0.53" right="0.3937007874015748" top="0.5" bottom="0.51" header="0.43" footer="0.3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AI151"/>
  <sheetViews>
    <sheetView workbookViewId="0" topLeftCell="A5">
      <selection activeCell="M10" sqref="M10"/>
    </sheetView>
  </sheetViews>
  <sheetFormatPr defaultColWidth="9.00390625" defaultRowHeight="13.5"/>
  <cols>
    <col min="1" max="1" width="9.00390625" style="440" customWidth="1"/>
    <col min="2" max="2" width="5.00390625" style="440" customWidth="1"/>
    <col min="3" max="3" width="2.625" style="440" customWidth="1"/>
    <col min="4" max="4" width="4.875" style="440" customWidth="1"/>
    <col min="5" max="5" width="7.50390625" style="440" customWidth="1"/>
    <col min="6" max="6" width="11.00390625" style="440" customWidth="1"/>
    <col min="7" max="7" width="11.125" style="440" customWidth="1"/>
    <col min="8" max="8" width="9.75390625" style="440" hidden="1" customWidth="1"/>
    <col min="9" max="9" width="9.375" style="440" hidden="1" customWidth="1"/>
    <col min="10" max="10" width="10.00390625" style="440" hidden="1" customWidth="1"/>
    <col min="11" max="11" width="10.625" style="440" hidden="1" customWidth="1"/>
    <col min="12" max="12" width="0.875" style="440" hidden="1" customWidth="1"/>
    <col min="13" max="13" width="18.00390625" style="440" customWidth="1"/>
    <col min="14" max="17" width="11.125" style="440" customWidth="1"/>
    <col min="18" max="18" width="4.25390625" style="440" hidden="1" customWidth="1"/>
    <col min="19" max="19" width="6.125" style="440" customWidth="1"/>
    <col min="20" max="20" width="12.75390625" style="147" customWidth="1"/>
    <col min="21" max="21" width="2.75390625" style="440" customWidth="1"/>
    <col min="22" max="22" width="10.25390625" style="440" customWidth="1"/>
    <col min="23" max="23" width="3.25390625" style="440" customWidth="1"/>
    <col min="24" max="24" width="15.75390625" style="440" customWidth="1"/>
    <col min="25" max="25" width="16.125" style="440" customWidth="1"/>
    <col min="26" max="27" width="10.125" style="440" customWidth="1"/>
    <col min="28" max="28" width="15.25390625" style="440" customWidth="1"/>
    <col min="29" max="30" width="11.125" style="440" customWidth="1"/>
    <col min="31" max="31" width="18.125" style="440" customWidth="1"/>
    <col min="32" max="32" width="13.875" style="440" customWidth="1"/>
    <col min="33" max="35" width="9.00390625" style="440" customWidth="1"/>
    <col min="36" max="16384" width="9.00390625" style="66" customWidth="1"/>
  </cols>
  <sheetData>
    <row r="1" ht="31.5" customHeight="1">
      <c r="E1" s="440" t="s">
        <v>356</v>
      </c>
    </row>
    <row r="2" spans="1:31" ht="55.5" customHeight="1">
      <c r="A2" s="440" t="s">
        <v>355</v>
      </c>
      <c r="B2" s="440">
        <v>40</v>
      </c>
      <c r="C2" s="501"/>
      <c r="D2" s="508"/>
      <c r="E2" s="514" t="s">
        <v>146</v>
      </c>
      <c r="F2" s="508"/>
      <c r="G2" s="107">
        <f>'11年増減額一覧表'!E70</f>
        <v>3925712</v>
      </c>
      <c r="H2" s="451">
        <v>0</v>
      </c>
      <c r="I2" s="451">
        <v>1650720</v>
      </c>
      <c r="J2" s="451">
        <v>2744000</v>
      </c>
      <c r="K2" s="451">
        <v>361</v>
      </c>
      <c r="L2" s="451">
        <f aca="true" t="shared" si="0" ref="L2:L113">G2-H2-I2-J2-K2</f>
        <v>-469369</v>
      </c>
      <c r="M2" s="451">
        <f>G2</f>
        <v>3925712</v>
      </c>
      <c r="N2" s="451">
        <v>0</v>
      </c>
      <c r="O2" s="451">
        <v>-1650720</v>
      </c>
      <c r="P2" s="451">
        <v>-2744000</v>
      </c>
      <c r="Q2" s="451">
        <v>-361</v>
      </c>
      <c r="R2" s="451"/>
      <c r="S2" s="451"/>
      <c r="T2" s="141" t="s">
        <v>155</v>
      </c>
      <c r="U2" s="440" t="s">
        <v>421</v>
      </c>
      <c r="V2" s="443">
        <f aca="true" t="shared" si="1" ref="V2:V90">M2-N2-O2-P2-Q2</f>
        <v>8320793</v>
      </c>
      <c r="X2" s="451">
        <v>-1650720</v>
      </c>
      <c r="Y2" s="593">
        <v>0</v>
      </c>
      <c r="Z2" s="598">
        <v>0</v>
      </c>
      <c r="AA2" s="598">
        <v>0</v>
      </c>
      <c r="AB2" s="598">
        <v>0</v>
      </c>
      <c r="AC2" s="598">
        <v>0</v>
      </c>
      <c r="AD2" s="503">
        <f aca="true" t="shared" si="2" ref="AD2:AD90">SUM(X2:AC2)</f>
        <v>-1650720</v>
      </c>
      <c r="AE2" s="207" t="str">
        <f aca="true" t="shared" si="3" ref="AE2:AE90">IF(O2=AD2,"OK","OUT")</f>
        <v>OK</v>
      </c>
    </row>
    <row r="3" spans="1:31" ht="55.5" customHeight="1" thickBot="1">
      <c r="A3" s="440" t="s">
        <v>355</v>
      </c>
      <c r="B3" s="440">
        <v>66</v>
      </c>
      <c r="C3" s="501"/>
      <c r="D3" s="508"/>
      <c r="E3" s="520" t="s">
        <v>411</v>
      </c>
      <c r="F3" s="508" t="s">
        <v>210</v>
      </c>
      <c r="G3" s="107">
        <f>'11年増減額一覧表'!E97</f>
        <v>8263870</v>
      </c>
      <c r="L3" s="451">
        <f t="shared" si="0"/>
        <v>8263870</v>
      </c>
      <c r="M3" s="451">
        <f>G3</f>
        <v>8263870</v>
      </c>
      <c r="N3" s="451">
        <v>0</v>
      </c>
      <c r="O3" s="451">
        <v>0</v>
      </c>
      <c r="P3" s="500">
        <v>-12156900</v>
      </c>
      <c r="Q3" s="500">
        <v>-2655</v>
      </c>
      <c r="R3" s="451"/>
      <c r="S3" s="451"/>
      <c r="T3" s="141" t="s">
        <v>77</v>
      </c>
      <c r="U3" s="440" t="s">
        <v>421</v>
      </c>
      <c r="V3" s="443">
        <f t="shared" si="1"/>
        <v>20423425</v>
      </c>
      <c r="X3" s="593"/>
      <c r="Y3" s="593"/>
      <c r="Z3" s="593"/>
      <c r="AA3" s="593"/>
      <c r="AB3" s="593"/>
      <c r="AC3" s="593"/>
      <c r="AD3" s="503">
        <f t="shared" si="2"/>
        <v>0</v>
      </c>
      <c r="AE3" s="207" t="str">
        <f t="shared" si="3"/>
        <v>OK</v>
      </c>
    </row>
    <row r="4" spans="1:31" ht="55.5" customHeight="1">
      <c r="A4" s="440" t="s">
        <v>355</v>
      </c>
      <c r="B4" s="440">
        <v>71</v>
      </c>
      <c r="C4" s="100"/>
      <c r="D4" s="512"/>
      <c r="E4" s="518" t="s">
        <v>218</v>
      </c>
      <c r="F4" s="37" t="s">
        <v>666</v>
      </c>
      <c r="G4" s="531">
        <f>'11年増減額一覧表'!E102</f>
        <v>3329000</v>
      </c>
      <c r="H4" s="539"/>
      <c r="I4" s="544"/>
      <c r="J4" s="544"/>
      <c r="K4" s="550"/>
      <c r="L4" s="556">
        <f t="shared" si="0"/>
        <v>3329000</v>
      </c>
      <c r="M4" s="561">
        <f aca="true" t="shared" si="4" ref="M4:M9">G4</f>
        <v>3329000</v>
      </c>
      <c r="N4" s="565"/>
      <c r="O4" s="472"/>
      <c r="P4" s="472">
        <v>-7226100</v>
      </c>
      <c r="Q4" s="471">
        <v>-1900</v>
      </c>
      <c r="R4" s="584"/>
      <c r="S4" s="580"/>
      <c r="T4" s="86" t="s">
        <v>373</v>
      </c>
      <c r="U4" s="440" t="s">
        <v>421</v>
      </c>
      <c r="V4" s="443">
        <f>M4-N4-O4-P4-Q4</f>
        <v>10557000</v>
      </c>
      <c r="X4" s="593"/>
      <c r="Y4" s="593"/>
      <c r="Z4" s="593"/>
      <c r="AA4" s="593"/>
      <c r="AB4" s="593"/>
      <c r="AC4" s="593"/>
      <c r="AD4" s="503">
        <f>SUM(X4:AC4)</f>
        <v>0</v>
      </c>
      <c r="AE4" s="207" t="str">
        <f>IF(O4=AD4,"OK","OUT")</f>
        <v>OK</v>
      </c>
    </row>
    <row r="5" spans="1:31" ht="55.5" customHeight="1" thickBot="1">
      <c r="A5" s="440" t="s">
        <v>355</v>
      </c>
      <c r="B5" s="440">
        <v>73</v>
      </c>
      <c r="C5" s="505"/>
      <c r="D5" s="510"/>
      <c r="E5" s="516" t="s">
        <v>221</v>
      </c>
      <c r="F5" s="63" t="s">
        <v>222</v>
      </c>
      <c r="G5" s="526">
        <f>'11年増減額一覧表'!E104</f>
        <v>138000</v>
      </c>
      <c r="H5" s="534"/>
      <c r="I5" s="542"/>
      <c r="J5" s="542"/>
      <c r="K5" s="546"/>
      <c r="L5" s="500">
        <f t="shared" si="0"/>
        <v>138000</v>
      </c>
      <c r="M5" s="474">
        <f t="shared" si="4"/>
        <v>138000</v>
      </c>
      <c r="N5" s="494"/>
      <c r="O5" s="495"/>
      <c r="P5" s="495">
        <v>-170900</v>
      </c>
      <c r="Q5" s="574">
        <v>-100</v>
      </c>
      <c r="R5" s="479"/>
      <c r="S5" s="587"/>
      <c r="T5" s="87" t="s">
        <v>373</v>
      </c>
      <c r="U5" s="440" t="s">
        <v>421</v>
      </c>
      <c r="V5" s="443">
        <f t="shared" si="1"/>
        <v>309000</v>
      </c>
      <c r="X5" s="593"/>
      <c r="Y5" s="593"/>
      <c r="Z5" s="593"/>
      <c r="AA5" s="593"/>
      <c r="AB5" s="593"/>
      <c r="AC5" s="593"/>
      <c r="AD5" s="503">
        <f t="shared" si="2"/>
        <v>0</v>
      </c>
      <c r="AE5" s="207" t="str">
        <f t="shared" si="3"/>
        <v>OK</v>
      </c>
    </row>
    <row r="6" spans="1:35" s="127" customFormat="1" ht="55.5" customHeight="1" thickBot="1">
      <c r="A6" s="440" t="s">
        <v>355</v>
      </c>
      <c r="B6" s="440">
        <v>75</v>
      </c>
      <c r="C6" s="100"/>
      <c r="D6" s="508"/>
      <c r="E6" s="518" t="s">
        <v>225</v>
      </c>
      <c r="F6" s="56" t="s">
        <v>226</v>
      </c>
      <c r="G6" s="107">
        <f>'11年増減額一覧表'!E106</f>
        <v>1382000</v>
      </c>
      <c r="H6" s="451"/>
      <c r="I6" s="451"/>
      <c r="J6" s="451"/>
      <c r="K6" s="493"/>
      <c r="L6" s="451">
        <f t="shared" si="0"/>
        <v>1382000</v>
      </c>
      <c r="M6" s="561">
        <f t="shared" si="4"/>
        <v>1382000</v>
      </c>
      <c r="N6" s="459"/>
      <c r="O6" s="459"/>
      <c r="P6" s="459">
        <v>-1499000</v>
      </c>
      <c r="Q6" s="576">
        <v>-1000</v>
      </c>
      <c r="R6" s="580"/>
      <c r="S6" s="580"/>
      <c r="T6" s="126" t="s">
        <v>373</v>
      </c>
      <c r="U6" s="440" t="s">
        <v>421</v>
      </c>
      <c r="V6" s="443">
        <f t="shared" si="1"/>
        <v>2882000</v>
      </c>
      <c r="W6" s="440"/>
      <c r="X6" s="593"/>
      <c r="Y6" s="593"/>
      <c r="Z6" s="593"/>
      <c r="AA6" s="593"/>
      <c r="AB6" s="593"/>
      <c r="AC6" s="593"/>
      <c r="AD6" s="444">
        <f t="shared" si="2"/>
        <v>0</v>
      </c>
      <c r="AE6" s="207" t="str">
        <f t="shared" si="3"/>
        <v>OK</v>
      </c>
      <c r="AF6" s="440"/>
      <c r="AG6" s="440"/>
      <c r="AH6" s="440"/>
      <c r="AI6" s="440"/>
    </row>
    <row r="7" spans="1:35" s="127" customFormat="1" ht="55.5" customHeight="1" thickBot="1">
      <c r="A7" s="440" t="s">
        <v>355</v>
      </c>
      <c r="B7" s="440">
        <v>80</v>
      </c>
      <c r="C7" s="95"/>
      <c r="D7" s="69"/>
      <c r="E7" s="519" t="s">
        <v>396</v>
      </c>
      <c r="F7" s="57" t="s">
        <v>264</v>
      </c>
      <c r="G7" s="121">
        <f>'11年増減額一覧表'!E111</f>
        <v>457965</v>
      </c>
      <c r="H7" s="537"/>
      <c r="I7" s="537"/>
      <c r="J7" s="537"/>
      <c r="K7" s="537"/>
      <c r="L7" s="466">
        <f t="shared" si="0"/>
        <v>457965</v>
      </c>
      <c r="M7" s="467">
        <f t="shared" si="4"/>
        <v>457965</v>
      </c>
      <c r="N7" s="468"/>
      <c r="O7" s="464"/>
      <c r="P7" s="464">
        <v>-564500</v>
      </c>
      <c r="Q7" s="576">
        <v>-500</v>
      </c>
      <c r="R7" s="466"/>
      <c r="S7" s="481"/>
      <c r="T7" s="590" t="s">
        <v>373</v>
      </c>
      <c r="U7" s="440" t="s">
        <v>421</v>
      </c>
      <c r="V7" s="443">
        <f t="shared" si="1"/>
        <v>1022965</v>
      </c>
      <c r="W7" s="440"/>
      <c r="X7" s="596"/>
      <c r="Y7" s="596"/>
      <c r="Z7" s="596"/>
      <c r="AA7" s="596"/>
      <c r="AB7" s="596"/>
      <c r="AC7" s="596"/>
      <c r="AD7" s="444">
        <f t="shared" si="2"/>
        <v>0</v>
      </c>
      <c r="AE7" s="207" t="str">
        <f t="shared" si="3"/>
        <v>OK</v>
      </c>
      <c r="AF7" s="440"/>
      <c r="AG7" s="440"/>
      <c r="AH7" s="440"/>
      <c r="AI7" s="440"/>
    </row>
    <row r="8" spans="1:35" s="127" customFormat="1" ht="55.5" customHeight="1">
      <c r="A8" s="440" t="s">
        <v>355</v>
      </c>
      <c r="B8" s="440">
        <v>88</v>
      </c>
      <c r="C8" s="100"/>
      <c r="D8" s="158"/>
      <c r="E8" s="439" t="s">
        <v>851</v>
      </c>
      <c r="F8" s="50" t="s">
        <v>63</v>
      </c>
      <c r="G8" s="176">
        <f>'11年増減額一覧表'!E117</f>
        <v>243000</v>
      </c>
      <c r="H8" s="449"/>
      <c r="I8" s="449"/>
      <c r="J8" s="449"/>
      <c r="K8" s="548"/>
      <c r="L8" s="449">
        <f t="shared" si="0"/>
        <v>243000</v>
      </c>
      <c r="M8" s="445">
        <f t="shared" si="4"/>
        <v>243000</v>
      </c>
      <c r="N8" s="446"/>
      <c r="O8" s="447"/>
      <c r="P8" s="447">
        <v>-274000</v>
      </c>
      <c r="Q8" s="473">
        <v>-445</v>
      </c>
      <c r="R8" s="449"/>
      <c r="S8" s="450"/>
      <c r="T8" s="142" t="s">
        <v>852</v>
      </c>
      <c r="U8" s="440" t="s">
        <v>421</v>
      </c>
      <c r="V8" s="443">
        <f t="shared" si="1"/>
        <v>517445</v>
      </c>
      <c r="W8" s="440"/>
      <c r="X8" s="593"/>
      <c r="Y8" s="593"/>
      <c r="Z8" s="593"/>
      <c r="AA8" s="593"/>
      <c r="AB8" s="593"/>
      <c r="AC8" s="593"/>
      <c r="AD8" s="444">
        <f t="shared" si="2"/>
        <v>0</v>
      </c>
      <c r="AE8" s="207" t="str">
        <f t="shared" si="3"/>
        <v>OK</v>
      </c>
      <c r="AF8" s="440"/>
      <c r="AG8" s="440"/>
      <c r="AH8" s="440"/>
      <c r="AI8" s="440"/>
    </row>
    <row r="9" spans="1:31" ht="55.5" customHeight="1">
      <c r="A9" s="440" t="s">
        <v>355</v>
      </c>
      <c r="B9" s="440">
        <v>95</v>
      </c>
      <c r="C9" s="99"/>
      <c r="D9" s="158"/>
      <c r="E9" s="439" t="s">
        <v>278</v>
      </c>
      <c r="F9" s="50" t="s">
        <v>279</v>
      </c>
      <c r="G9" s="132">
        <f>'11年増減額一覧表'!E122</f>
        <v>272000</v>
      </c>
      <c r="H9" s="532">
        <v>0</v>
      </c>
      <c r="I9" s="532">
        <v>186533</v>
      </c>
      <c r="J9" s="532">
        <v>409900</v>
      </c>
      <c r="K9" s="551">
        <v>5467</v>
      </c>
      <c r="L9" s="449">
        <f t="shared" si="0"/>
        <v>-329900</v>
      </c>
      <c r="M9" s="445">
        <f t="shared" si="4"/>
        <v>272000</v>
      </c>
      <c r="N9" s="446"/>
      <c r="O9" s="447">
        <v>-186533</v>
      </c>
      <c r="P9" s="447">
        <v>-409900</v>
      </c>
      <c r="Q9" s="448">
        <v>-5467</v>
      </c>
      <c r="R9" s="449"/>
      <c r="S9" s="448"/>
      <c r="T9" s="142" t="s">
        <v>429</v>
      </c>
      <c r="U9" s="440" t="s">
        <v>421</v>
      </c>
      <c r="V9" s="443">
        <f t="shared" si="1"/>
        <v>873900</v>
      </c>
      <c r="X9" s="593">
        <v>-186533</v>
      </c>
      <c r="Y9" s="593"/>
      <c r="Z9" s="593"/>
      <c r="AA9" s="593"/>
      <c r="AB9" s="593"/>
      <c r="AC9" s="597"/>
      <c r="AD9" s="444">
        <f t="shared" si="2"/>
        <v>-186533</v>
      </c>
      <c r="AE9" s="207" t="str">
        <f t="shared" si="3"/>
        <v>OK</v>
      </c>
    </row>
    <row r="10" spans="1:31" ht="55.5" customHeight="1">
      <c r="A10" s="440" t="s">
        <v>156</v>
      </c>
      <c r="C10" s="99"/>
      <c r="D10" s="214"/>
      <c r="E10" s="604"/>
      <c r="F10" s="605" t="s">
        <v>156</v>
      </c>
      <c r="G10" s="606"/>
      <c r="H10" s="607"/>
      <c r="I10" s="607"/>
      <c r="J10" s="607"/>
      <c r="K10" s="608"/>
      <c r="L10" s="609"/>
      <c r="M10" s="610">
        <f>SUM(M2:M9)</f>
        <v>18011547</v>
      </c>
      <c r="N10" s="446"/>
      <c r="O10" s="447"/>
      <c r="P10" s="447"/>
      <c r="Q10" s="450"/>
      <c r="R10" s="449"/>
      <c r="S10" s="448"/>
      <c r="T10" s="142"/>
      <c r="V10" s="443"/>
      <c r="X10" s="593"/>
      <c r="Y10" s="593"/>
      <c r="Z10" s="593"/>
      <c r="AA10" s="593"/>
      <c r="AB10" s="593"/>
      <c r="AC10" s="593"/>
      <c r="AD10" s="444"/>
      <c r="AE10" s="207"/>
    </row>
    <row r="11" spans="3:30" ht="54.75" customHeight="1">
      <c r="C11" s="497"/>
      <c r="D11" s="507"/>
      <c r="E11" s="513" t="s">
        <v>158</v>
      </c>
      <c r="F11" s="521" t="s">
        <v>607</v>
      </c>
      <c r="G11" s="524"/>
      <c r="H11" s="524"/>
      <c r="I11" s="524"/>
      <c r="J11" s="524"/>
      <c r="K11" s="524"/>
      <c r="L11" s="553"/>
      <c r="M11" s="558"/>
      <c r="N11" s="563"/>
      <c r="O11" s="567"/>
      <c r="P11" s="567"/>
      <c r="Q11" s="572" t="s">
        <v>123</v>
      </c>
      <c r="R11" s="578"/>
      <c r="S11" s="585"/>
      <c r="T11" s="142"/>
      <c r="AD11" s="478"/>
    </row>
    <row r="12" spans="3:30" ht="31.5" customHeight="1">
      <c r="C12" s="497"/>
      <c r="D12" s="509"/>
      <c r="E12" s="515"/>
      <c r="F12" s="522"/>
      <c r="G12" s="525"/>
      <c r="H12" s="525"/>
      <c r="I12" s="525"/>
      <c r="J12" s="525"/>
      <c r="K12" s="525"/>
      <c r="L12" s="554"/>
      <c r="M12" s="559" t="s">
        <v>122</v>
      </c>
      <c r="N12" s="563"/>
      <c r="O12" s="568"/>
      <c r="P12" s="571"/>
      <c r="Q12" s="573"/>
      <c r="R12" s="579"/>
      <c r="S12" s="586"/>
      <c r="T12" s="142"/>
      <c r="AD12" s="478"/>
    </row>
    <row r="13" spans="3:32" ht="43.5" customHeight="1">
      <c r="C13" s="506" t="s">
        <v>138</v>
      </c>
      <c r="D13" s="511" t="s">
        <v>157</v>
      </c>
      <c r="E13" s="517" t="s">
        <v>435</v>
      </c>
      <c r="F13" s="523" t="s">
        <v>120</v>
      </c>
      <c r="G13" s="527" t="s">
        <v>119</v>
      </c>
      <c r="H13" s="540" t="s">
        <v>720</v>
      </c>
      <c r="I13" s="540"/>
      <c r="J13" s="540"/>
      <c r="K13" s="540"/>
      <c r="L13" s="557"/>
      <c r="M13" s="562" t="s">
        <v>118</v>
      </c>
      <c r="N13" s="566" t="s">
        <v>117</v>
      </c>
      <c r="O13" s="570"/>
      <c r="P13" s="570"/>
      <c r="Q13" s="577"/>
      <c r="R13" s="557" t="s">
        <v>763</v>
      </c>
      <c r="S13" s="588"/>
      <c r="T13" s="142" t="s">
        <v>116</v>
      </c>
      <c r="V13" s="28" t="s">
        <v>803</v>
      </c>
      <c r="X13" s="442" t="s">
        <v>140</v>
      </c>
      <c r="Y13" s="442" t="s">
        <v>142</v>
      </c>
      <c r="Z13" s="442" t="s">
        <v>681</v>
      </c>
      <c r="AA13" s="442" t="s">
        <v>288</v>
      </c>
      <c r="AB13" s="442" t="s">
        <v>778</v>
      </c>
      <c r="AC13" s="602" t="s">
        <v>683</v>
      </c>
      <c r="AD13" s="603"/>
      <c r="AE13" s="442" t="s">
        <v>802</v>
      </c>
      <c r="AF13" s="602" t="s">
        <v>42</v>
      </c>
    </row>
    <row r="14" spans="3:30" ht="39.75" customHeight="1">
      <c r="C14" s="506"/>
      <c r="D14" s="511"/>
      <c r="E14" s="517"/>
      <c r="F14" s="523"/>
      <c r="G14" s="527" t="s">
        <v>814</v>
      </c>
      <c r="H14" s="527" t="s">
        <v>115</v>
      </c>
      <c r="I14" s="543" t="s">
        <v>114</v>
      </c>
      <c r="J14" s="543" t="s">
        <v>113</v>
      </c>
      <c r="K14" s="543" t="s">
        <v>112</v>
      </c>
      <c r="L14" s="555" t="s">
        <v>661</v>
      </c>
      <c r="M14" s="560"/>
      <c r="N14" s="564" t="s">
        <v>115</v>
      </c>
      <c r="O14" s="569" t="s">
        <v>114</v>
      </c>
      <c r="P14" s="569" t="s">
        <v>113</v>
      </c>
      <c r="Q14" s="575" t="s">
        <v>112</v>
      </c>
      <c r="R14" s="557"/>
      <c r="S14" s="588"/>
      <c r="T14" s="142"/>
      <c r="AD14" s="478"/>
    </row>
    <row r="15" spans="1:35" ht="31.5" customHeight="1">
      <c r="A15" s="442"/>
      <c r="B15" s="442">
        <v>1</v>
      </c>
      <c r="C15" s="434" t="s">
        <v>65</v>
      </c>
      <c r="D15" s="91" t="s">
        <v>65</v>
      </c>
      <c r="E15" s="56" t="s">
        <v>66</v>
      </c>
      <c r="F15" s="50" t="s">
        <v>67</v>
      </c>
      <c r="G15" s="528">
        <v>20000</v>
      </c>
      <c r="H15" s="528"/>
      <c r="I15" s="528"/>
      <c r="J15" s="528"/>
      <c r="K15" s="528"/>
      <c r="L15" s="235"/>
      <c r="M15" s="381">
        <v>-10000</v>
      </c>
      <c r="N15" s="382"/>
      <c r="O15" s="237"/>
      <c r="P15" s="237"/>
      <c r="Q15" s="384">
        <v>-10000</v>
      </c>
      <c r="R15" s="383"/>
      <c r="S15" s="589"/>
      <c r="T15" s="142" t="s">
        <v>608</v>
      </c>
      <c r="U15" s="442" t="s">
        <v>421</v>
      </c>
      <c r="V15" s="443">
        <f t="shared" si="1"/>
        <v>0</v>
      </c>
      <c r="W15" s="442"/>
      <c r="X15" s="442"/>
      <c r="Y15" s="442"/>
      <c r="Z15" s="442"/>
      <c r="AA15" s="442"/>
      <c r="AB15" s="442"/>
      <c r="AC15" s="442"/>
      <c r="AD15" s="444">
        <f t="shared" si="2"/>
        <v>0</v>
      </c>
      <c r="AE15" s="207" t="str">
        <f t="shared" si="3"/>
        <v>OK</v>
      </c>
      <c r="AF15" s="442"/>
      <c r="AG15" s="442"/>
      <c r="AH15" s="442"/>
      <c r="AI15" s="442"/>
    </row>
    <row r="16" spans="1:35" ht="31.5" customHeight="1">
      <c r="A16" s="442"/>
      <c r="B16" s="442"/>
      <c r="C16" s="434"/>
      <c r="D16" s="92"/>
      <c r="E16" s="50"/>
      <c r="F16" s="50" t="s">
        <v>403</v>
      </c>
      <c r="G16" s="528">
        <f>SUM(G15)</f>
        <v>20000</v>
      </c>
      <c r="H16" s="528"/>
      <c r="I16" s="528"/>
      <c r="J16" s="528"/>
      <c r="K16" s="528"/>
      <c r="L16" s="235"/>
      <c r="M16" s="381">
        <f>SUM(M15)</f>
        <v>-10000</v>
      </c>
      <c r="N16" s="382"/>
      <c r="O16" s="237"/>
      <c r="P16" s="237"/>
      <c r="Q16" s="384">
        <f>SUM(Q15)</f>
        <v>-10000</v>
      </c>
      <c r="R16" s="383"/>
      <c r="S16" s="589"/>
      <c r="T16" s="591"/>
      <c r="U16" s="442"/>
      <c r="V16" s="443">
        <f t="shared" si="1"/>
        <v>0</v>
      </c>
      <c r="W16" s="442"/>
      <c r="X16" s="380">
        <f aca="true" t="shared" si="5" ref="X16:AC16">SUM(X15)</f>
        <v>0</v>
      </c>
      <c r="Y16" s="380">
        <f t="shared" si="5"/>
        <v>0</v>
      </c>
      <c r="Z16" s="380">
        <f t="shared" si="5"/>
        <v>0</v>
      </c>
      <c r="AA16" s="380">
        <f t="shared" si="5"/>
        <v>0</v>
      </c>
      <c r="AB16" s="380">
        <f t="shared" si="5"/>
        <v>0</v>
      </c>
      <c r="AC16" s="380">
        <f t="shared" si="5"/>
        <v>0</v>
      </c>
      <c r="AD16" s="444">
        <f t="shared" si="2"/>
        <v>0</v>
      </c>
      <c r="AE16" s="207" t="str">
        <f t="shared" si="3"/>
        <v>OK</v>
      </c>
      <c r="AF16" s="442"/>
      <c r="AG16" s="442"/>
      <c r="AH16" s="442"/>
      <c r="AI16" s="442"/>
    </row>
    <row r="17" spans="1:35" ht="32.25" customHeight="1">
      <c r="A17" s="442"/>
      <c r="B17" s="442">
        <v>2</v>
      </c>
      <c r="C17" s="434" t="s">
        <v>11</v>
      </c>
      <c r="D17" s="93" t="s">
        <v>12</v>
      </c>
      <c r="E17" s="50" t="s">
        <v>13</v>
      </c>
      <c r="F17" s="50" t="s">
        <v>14</v>
      </c>
      <c r="G17" s="528">
        <v>42638</v>
      </c>
      <c r="H17" s="528"/>
      <c r="I17" s="528"/>
      <c r="J17" s="528">
        <v>5600000</v>
      </c>
      <c r="K17" s="528">
        <v>4730000</v>
      </c>
      <c r="L17" s="235"/>
      <c r="M17" s="381">
        <v>-36998</v>
      </c>
      <c r="N17" s="382"/>
      <c r="O17" s="237"/>
      <c r="P17" s="397"/>
      <c r="Q17" s="384">
        <v>-36998</v>
      </c>
      <c r="R17" s="383"/>
      <c r="S17" s="589"/>
      <c r="T17" s="142" t="s">
        <v>15</v>
      </c>
      <c r="U17" s="442" t="s">
        <v>421</v>
      </c>
      <c r="V17" s="443">
        <f t="shared" si="1"/>
        <v>0</v>
      </c>
      <c r="W17" s="442"/>
      <c r="X17" s="380"/>
      <c r="Y17" s="380"/>
      <c r="Z17" s="380"/>
      <c r="AA17" s="380"/>
      <c r="AB17" s="380"/>
      <c r="AC17" s="600"/>
      <c r="AD17" s="444">
        <f t="shared" si="2"/>
        <v>0</v>
      </c>
      <c r="AE17" s="207" t="str">
        <f t="shared" si="3"/>
        <v>OK</v>
      </c>
      <c r="AF17" s="602"/>
      <c r="AG17" s="442"/>
      <c r="AH17" s="442"/>
      <c r="AI17" s="442"/>
    </row>
    <row r="18" spans="2:31" ht="31.5" customHeight="1">
      <c r="B18" s="440">
        <v>3</v>
      </c>
      <c r="C18" s="434"/>
      <c r="D18" s="90" t="s">
        <v>717</v>
      </c>
      <c r="E18" s="38" t="s">
        <v>718</v>
      </c>
      <c r="F18" s="50"/>
      <c r="G18" s="132">
        <v>705223</v>
      </c>
      <c r="H18" s="132"/>
      <c r="I18" s="132">
        <v>122086</v>
      </c>
      <c r="J18" s="132"/>
      <c r="K18" s="132">
        <v>583137</v>
      </c>
      <c r="L18" s="176"/>
      <c r="M18" s="445">
        <v>-141044</v>
      </c>
      <c r="N18" s="446"/>
      <c r="O18" s="447">
        <v>-24417</v>
      </c>
      <c r="P18" s="447">
        <v>0</v>
      </c>
      <c r="Q18" s="448">
        <v>-116627</v>
      </c>
      <c r="R18" s="449"/>
      <c r="S18" s="448"/>
      <c r="T18" s="142" t="s">
        <v>729</v>
      </c>
      <c r="U18" s="440" t="s">
        <v>421</v>
      </c>
      <c r="V18" s="443">
        <f t="shared" si="1"/>
        <v>0</v>
      </c>
      <c r="AC18" s="451">
        <v>-24417</v>
      </c>
      <c r="AD18" s="444">
        <f t="shared" si="2"/>
        <v>-24417</v>
      </c>
      <c r="AE18" s="207" t="str">
        <f t="shared" si="3"/>
        <v>OK</v>
      </c>
    </row>
    <row r="19" spans="2:31" ht="31.5" customHeight="1">
      <c r="B19" s="442">
        <v>4</v>
      </c>
      <c r="C19" s="89"/>
      <c r="D19" s="93" t="s">
        <v>159</v>
      </c>
      <c r="E19" s="50" t="s">
        <v>160</v>
      </c>
      <c r="F19" s="50" t="s">
        <v>161</v>
      </c>
      <c r="G19" s="132">
        <v>1754628</v>
      </c>
      <c r="H19" s="132"/>
      <c r="I19" s="132">
        <v>12628</v>
      </c>
      <c r="J19" s="132"/>
      <c r="K19" s="132">
        <v>1742000</v>
      </c>
      <c r="L19" s="176"/>
      <c r="M19" s="445">
        <v>-877314</v>
      </c>
      <c r="N19" s="446"/>
      <c r="O19" s="447"/>
      <c r="P19" s="447"/>
      <c r="Q19" s="450">
        <v>-877314</v>
      </c>
      <c r="R19" s="449"/>
      <c r="S19" s="448"/>
      <c r="T19" s="142" t="s">
        <v>568</v>
      </c>
      <c r="U19" s="440" t="s">
        <v>421</v>
      </c>
      <c r="V19" s="443">
        <f t="shared" si="1"/>
        <v>0</v>
      </c>
      <c r="AD19" s="444">
        <f t="shared" si="2"/>
        <v>0</v>
      </c>
      <c r="AE19" s="207" t="str">
        <f t="shared" si="3"/>
        <v>OK</v>
      </c>
    </row>
    <row r="20" spans="2:31" ht="40.5" customHeight="1">
      <c r="B20" s="440">
        <v>5</v>
      </c>
      <c r="C20" s="89"/>
      <c r="D20" s="90" t="s">
        <v>100</v>
      </c>
      <c r="E20" s="56" t="s">
        <v>99</v>
      </c>
      <c r="F20" s="50" t="s">
        <v>860</v>
      </c>
      <c r="G20" s="132">
        <v>44246</v>
      </c>
      <c r="H20" s="132"/>
      <c r="I20" s="132"/>
      <c r="J20" s="132"/>
      <c r="K20" s="132"/>
      <c r="L20" s="176"/>
      <c r="M20" s="445">
        <v>-44246</v>
      </c>
      <c r="N20" s="446"/>
      <c r="O20" s="447"/>
      <c r="P20" s="447"/>
      <c r="Q20" s="450">
        <v>-44246</v>
      </c>
      <c r="R20" s="154" t="s">
        <v>731</v>
      </c>
      <c r="S20" s="448"/>
      <c r="T20" s="142" t="s">
        <v>731</v>
      </c>
      <c r="U20" s="440" t="s">
        <v>421</v>
      </c>
      <c r="V20" s="443">
        <f t="shared" si="1"/>
        <v>0</v>
      </c>
      <c r="AD20" s="444">
        <f t="shared" si="2"/>
        <v>0</v>
      </c>
      <c r="AE20" s="207" t="str">
        <f t="shared" si="3"/>
        <v>OK</v>
      </c>
    </row>
    <row r="21" spans="2:32" ht="34.5" customHeight="1">
      <c r="B21" s="442">
        <v>6</v>
      </c>
      <c r="C21" s="89"/>
      <c r="D21" s="91"/>
      <c r="E21" s="51"/>
      <c r="F21" s="38" t="s">
        <v>111</v>
      </c>
      <c r="G21" s="132">
        <v>65239</v>
      </c>
      <c r="H21" s="132"/>
      <c r="I21" s="132"/>
      <c r="J21" s="132"/>
      <c r="K21" s="132"/>
      <c r="L21" s="176"/>
      <c r="M21" s="445">
        <v>-65239</v>
      </c>
      <c r="N21" s="446"/>
      <c r="O21" s="447">
        <v>-8677</v>
      </c>
      <c r="P21" s="447"/>
      <c r="Q21" s="450">
        <f>M21-O21</f>
        <v>-56562</v>
      </c>
      <c r="R21" s="154" t="s">
        <v>69</v>
      </c>
      <c r="S21" s="448"/>
      <c r="T21" s="142" t="s">
        <v>755</v>
      </c>
      <c r="U21" s="440" t="s">
        <v>421</v>
      </c>
      <c r="V21" s="443">
        <f t="shared" si="1"/>
        <v>0</v>
      </c>
      <c r="AC21" s="451">
        <v>-8677</v>
      </c>
      <c r="AD21" s="444">
        <f t="shared" si="2"/>
        <v>-8677</v>
      </c>
      <c r="AE21" s="207" t="str">
        <f t="shared" si="3"/>
        <v>OK</v>
      </c>
      <c r="AF21" s="451">
        <v>-8677</v>
      </c>
    </row>
    <row r="22" spans="2:31" ht="31.5" customHeight="1">
      <c r="B22" s="440">
        <v>7</v>
      </c>
      <c r="C22" s="89"/>
      <c r="D22" s="91"/>
      <c r="E22" s="50"/>
      <c r="F22" s="38" t="s">
        <v>418</v>
      </c>
      <c r="G22" s="132">
        <v>124534</v>
      </c>
      <c r="H22" s="132"/>
      <c r="I22" s="132"/>
      <c r="J22" s="132"/>
      <c r="K22" s="132"/>
      <c r="L22" s="176"/>
      <c r="M22" s="445">
        <v>-124534</v>
      </c>
      <c r="N22" s="446"/>
      <c r="O22" s="447"/>
      <c r="P22" s="447"/>
      <c r="Q22" s="450">
        <v>-124534</v>
      </c>
      <c r="R22" s="154" t="s">
        <v>692</v>
      </c>
      <c r="S22" s="448"/>
      <c r="T22" s="142" t="s">
        <v>692</v>
      </c>
      <c r="U22" s="440" t="s">
        <v>421</v>
      </c>
      <c r="V22" s="443">
        <f t="shared" si="1"/>
        <v>0</v>
      </c>
      <c r="AC22" s="451"/>
      <c r="AD22" s="444">
        <f t="shared" si="2"/>
        <v>0</v>
      </c>
      <c r="AE22" s="207" t="str">
        <f t="shared" si="3"/>
        <v>OK</v>
      </c>
    </row>
    <row r="23" spans="2:31" ht="31.5" customHeight="1">
      <c r="B23" s="442">
        <v>8</v>
      </c>
      <c r="C23" s="89"/>
      <c r="D23" s="90"/>
      <c r="E23" s="51"/>
      <c r="F23" s="38" t="s">
        <v>861</v>
      </c>
      <c r="G23" s="132">
        <v>62073</v>
      </c>
      <c r="H23" s="132"/>
      <c r="I23" s="132"/>
      <c r="J23" s="132"/>
      <c r="K23" s="132"/>
      <c r="L23" s="176"/>
      <c r="M23" s="445">
        <v>-62073</v>
      </c>
      <c r="N23" s="446"/>
      <c r="O23" s="447"/>
      <c r="P23" s="447"/>
      <c r="Q23" s="450">
        <v>-62073</v>
      </c>
      <c r="R23" s="154" t="s">
        <v>692</v>
      </c>
      <c r="S23" s="448"/>
      <c r="T23" s="143" t="s">
        <v>692</v>
      </c>
      <c r="U23" s="440" t="s">
        <v>421</v>
      </c>
      <c r="V23" s="443">
        <f t="shared" si="1"/>
        <v>0</v>
      </c>
      <c r="AD23" s="444">
        <f t="shared" si="2"/>
        <v>0</v>
      </c>
      <c r="AE23" s="207" t="str">
        <f t="shared" si="3"/>
        <v>OK</v>
      </c>
    </row>
    <row r="24" spans="2:31" ht="41.25" customHeight="1">
      <c r="B24" s="440">
        <v>9</v>
      </c>
      <c r="C24" s="89"/>
      <c r="D24" s="91"/>
      <c r="E24" s="51"/>
      <c r="F24" s="38" t="s">
        <v>730</v>
      </c>
      <c r="G24" s="132">
        <v>356121</v>
      </c>
      <c r="H24" s="132"/>
      <c r="I24" s="132"/>
      <c r="J24" s="132"/>
      <c r="K24" s="132"/>
      <c r="L24" s="176"/>
      <c r="M24" s="445">
        <v>-356121</v>
      </c>
      <c r="N24" s="446"/>
      <c r="O24" s="447"/>
      <c r="P24" s="447"/>
      <c r="Q24" s="450">
        <v>-356121</v>
      </c>
      <c r="R24" s="154" t="s">
        <v>692</v>
      </c>
      <c r="S24" s="448"/>
      <c r="T24" s="143" t="s">
        <v>692</v>
      </c>
      <c r="U24" s="440" t="s">
        <v>421</v>
      </c>
      <c r="V24" s="443">
        <f t="shared" si="1"/>
        <v>0</v>
      </c>
      <c r="AD24" s="444">
        <f t="shared" si="2"/>
        <v>0</v>
      </c>
      <c r="AE24" s="207" t="str">
        <f t="shared" si="3"/>
        <v>OK</v>
      </c>
    </row>
    <row r="25" spans="2:32" ht="39" customHeight="1">
      <c r="B25" s="442">
        <v>10</v>
      </c>
      <c r="C25" s="89"/>
      <c r="D25" s="91" t="s">
        <v>110</v>
      </c>
      <c r="E25" s="51" t="s">
        <v>109</v>
      </c>
      <c r="F25" s="38" t="s">
        <v>616</v>
      </c>
      <c r="G25" s="132">
        <v>1041000</v>
      </c>
      <c r="H25" s="132"/>
      <c r="I25" s="132"/>
      <c r="J25" s="132"/>
      <c r="K25" s="132"/>
      <c r="L25" s="176"/>
      <c r="M25" s="445">
        <v>-1041000</v>
      </c>
      <c r="N25" s="446"/>
      <c r="O25" s="447">
        <v>-1041000</v>
      </c>
      <c r="P25" s="447"/>
      <c r="Q25" s="450"/>
      <c r="R25" s="154" t="s">
        <v>68</v>
      </c>
      <c r="S25" s="448"/>
      <c r="T25" s="143" t="s">
        <v>756</v>
      </c>
      <c r="U25" s="440" t="s">
        <v>421</v>
      </c>
      <c r="V25" s="443">
        <f t="shared" si="1"/>
        <v>0</v>
      </c>
      <c r="AC25" s="451">
        <v>-1041000</v>
      </c>
      <c r="AD25" s="444">
        <f t="shared" si="2"/>
        <v>-1041000</v>
      </c>
      <c r="AE25" s="207" t="str">
        <f t="shared" si="3"/>
        <v>OK</v>
      </c>
      <c r="AF25" s="451">
        <v>-1041000</v>
      </c>
    </row>
    <row r="26" spans="2:31" ht="31.5" customHeight="1">
      <c r="B26" s="440">
        <v>11</v>
      </c>
      <c r="C26" s="89"/>
      <c r="D26" s="91" t="s">
        <v>108</v>
      </c>
      <c r="E26" s="51" t="s">
        <v>107</v>
      </c>
      <c r="F26" s="38" t="s">
        <v>105</v>
      </c>
      <c r="G26" s="132">
        <v>221961</v>
      </c>
      <c r="H26" s="132"/>
      <c r="I26" s="132">
        <v>44139</v>
      </c>
      <c r="J26" s="132"/>
      <c r="K26" s="132">
        <v>177822</v>
      </c>
      <c r="L26" s="176"/>
      <c r="M26" s="445">
        <v>-110981</v>
      </c>
      <c r="N26" s="446">
        <v>0</v>
      </c>
      <c r="O26" s="447">
        <v>-22070</v>
      </c>
      <c r="P26" s="447">
        <v>0</v>
      </c>
      <c r="Q26" s="450">
        <v>-88911</v>
      </c>
      <c r="R26" s="449"/>
      <c r="S26" s="448"/>
      <c r="T26" s="129" t="s">
        <v>809</v>
      </c>
      <c r="U26" s="440" t="s">
        <v>421</v>
      </c>
      <c r="V26" s="443">
        <f t="shared" si="1"/>
        <v>0</v>
      </c>
      <c r="AB26" s="440">
        <v>-22070</v>
      </c>
      <c r="AD26" s="444">
        <f t="shared" si="2"/>
        <v>-22070</v>
      </c>
      <c r="AE26" s="207" t="str">
        <f t="shared" si="3"/>
        <v>OK</v>
      </c>
    </row>
    <row r="27" spans="2:31" ht="31.5" customHeight="1">
      <c r="B27" s="442">
        <v>12</v>
      </c>
      <c r="C27" s="89"/>
      <c r="D27" s="92" t="s">
        <v>104</v>
      </c>
      <c r="E27" s="50" t="s">
        <v>101</v>
      </c>
      <c r="F27" s="50"/>
      <c r="G27" s="132">
        <v>1223</v>
      </c>
      <c r="H27" s="132"/>
      <c r="I27" s="132"/>
      <c r="J27" s="132"/>
      <c r="K27" s="132"/>
      <c r="L27" s="176"/>
      <c r="M27" s="445">
        <v>-1223</v>
      </c>
      <c r="N27" s="446">
        <v>-1223</v>
      </c>
      <c r="O27" s="447"/>
      <c r="P27" s="447"/>
      <c r="Q27" s="450"/>
      <c r="R27" s="449"/>
      <c r="S27" s="448"/>
      <c r="T27" s="142"/>
      <c r="U27" s="440" t="s">
        <v>421</v>
      </c>
      <c r="V27" s="443">
        <f t="shared" si="1"/>
        <v>0</v>
      </c>
      <c r="AD27" s="444">
        <f t="shared" si="2"/>
        <v>0</v>
      </c>
      <c r="AE27" s="207" t="str">
        <f t="shared" si="3"/>
        <v>OK</v>
      </c>
    </row>
    <row r="28" spans="2:31" ht="36" customHeight="1">
      <c r="B28" s="440">
        <v>13</v>
      </c>
      <c r="C28" s="89"/>
      <c r="D28" s="90" t="s">
        <v>388</v>
      </c>
      <c r="E28" s="51" t="s">
        <v>8</v>
      </c>
      <c r="F28" s="50" t="s">
        <v>9</v>
      </c>
      <c r="G28" s="132">
        <v>5380741</v>
      </c>
      <c r="H28" s="132"/>
      <c r="I28" s="132"/>
      <c r="J28" s="132"/>
      <c r="K28" s="132"/>
      <c r="L28" s="176"/>
      <c r="M28" s="445">
        <v>-6000</v>
      </c>
      <c r="N28" s="446"/>
      <c r="O28" s="447"/>
      <c r="P28" s="447"/>
      <c r="Q28" s="450">
        <v>-6000</v>
      </c>
      <c r="R28" s="449"/>
      <c r="S28" s="448"/>
      <c r="T28" s="143" t="s">
        <v>10</v>
      </c>
      <c r="U28" s="440" t="s">
        <v>421</v>
      </c>
      <c r="V28" s="443">
        <f t="shared" si="1"/>
        <v>0</v>
      </c>
      <c r="Z28" s="592"/>
      <c r="AA28" s="592"/>
      <c r="AB28" s="592"/>
      <c r="AD28" s="444">
        <f t="shared" si="2"/>
        <v>0</v>
      </c>
      <c r="AE28" s="207" t="str">
        <f t="shared" si="3"/>
        <v>OK</v>
      </c>
    </row>
    <row r="29" spans="2:31" ht="55.5" customHeight="1">
      <c r="B29" s="442">
        <v>14</v>
      </c>
      <c r="C29" s="89"/>
      <c r="D29" s="94"/>
      <c r="E29" s="51" t="s">
        <v>389</v>
      </c>
      <c r="F29" s="50" t="s">
        <v>390</v>
      </c>
      <c r="G29" s="132">
        <v>2975</v>
      </c>
      <c r="H29" s="132"/>
      <c r="I29" s="132"/>
      <c r="J29" s="132"/>
      <c r="K29" s="132"/>
      <c r="L29" s="176"/>
      <c r="M29" s="445">
        <v>-2975</v>
      </c>
      <c r="N29" s="446"/>
      <c r="O29" s="447"/>
      <c r="P29" s="447"/>
      <c r="Q29" s="450">
        <v>-2975</v>
      </c>
      <c r="R29" s="449"/>
      <c r="S29" s="448"/>
      <c r="T29" s="142"/>
      <c r="U29" s="440" t="s">
        <v>421</v>
      </c>
      <c r="V29" s="443">
        <f t="shared" si="1"/>
        <v>0</v>
      </c>
      <c r="AB29" s="592"/>
      <c r="AD29" s="444">
        <f t="shared" si="2"/>
        <v>0</v>
      </c>
      <c r="AE29" s="207" t="str">
        <f t="shared" si="3"/>
        <v>OK</v>
      </c>
    </row>
    <row r="30" spans="2:31" ht="31.5" customHeight="1">
      <c r="B30" s="440">
        <v>15</v>
      </c>
      <c r="C30" s="89"/>
      <c r="D30" s="90"/>
      <c r="E30" s="51"/>
      <c r="F30" s="50" t="s">
        <v>391</v>
      </c>
      <c r="G30" s="132">
        <v>1240</v>
      </c>
      <c r="H30" s="132"/>
      <c r="I30" s="132"/>
      <c r="J30" s="132"/>
      <c r="K30" s="132"/>
      <c r="L30" s="176"/>
      <c r="M30" s="445">
        <v>-1240</v>
      </c>
      <c r="N30" s="446"/>
      <c r="O30" s="447"/>
      <c r="P30" s="447"/>
      <c r="Q30" s="450">
        <v>-1240</v>
      </c>
      <c r="R30" s="449"/>
      <c r="S30" s="448"/>
      <c r="T30" s="142"/>
      <c r="U30" s="440" t="s">
        <v>421</v>
      </c>
      <c r="V30" s="443">
        <f t="shared" si="1"/>
        <v>0</v>
      </c>
      <c r="AD30" s="444">
        <f t="shared" si="2"/>
        <v>0</v>
      </c>
      <c r="AE30" s="207" t="str">
        <f t="shared" si="3"/>
        <v>OK</v>
      </c>
    </row>
    <row r="31" spans="2:32" ht="43.5" customHeight="1">
      <c r="B31" s="442">
        <v>16</v>
      </c>
      <c r="C31" s="89"/>
      <c r="D31" s="91" t="s">
        <v>70</v>
      </c>
      <c r="E31" s="56" t="s">
        <v>71</v>
      </c>
      <c r="F31" s="38" t="s">
        <v>447</v>
      </c>
      <c r="G31" s="131">
        <v>3592</v>
      </c>
      <c r="H31" s="131"/>
      <c r="I31" s="131"/>
      <c r="J31" s="131"/>
      <c r="K31" s="131"/>
      <c r="L31" s="177"/>
      <c r="M31" s="452">
        <v>-3592</v>
      </c>
      <c r="N31" s="453"/>
      <c r="O31" s="454"/>
      <c r="P31" s="454"/>
      <c r="Q31" s="455">
        <v>-3592</v>
      </c>
      <c r="R31" s="581"/>
      <c r="S31" s="457"/>
      <c r="T31" s="38" t="s">
        <v>238</v>
      </c>
      <c r="U31" s="440" t="s">
        <v>421</v>
      </c>
      <c r="V31" s="443">
        <f t="shared" si="1"/>
        <v>0</v>
      </c>
      <c r="AB31" s="478"/>
      <c r="AC31" s="441"/>
      <c r="AD31" s="444">
        <f t="shared" si="2"/>
        <v>0</v>
      </c>
      <c r="AE31" s="207" t="str">
        <f t="shared" si="3"/>
        <v>OK</v>
      </c>
      <c r="AF31" s="478"/>
    </row>
    <row r="32" spans="2:31" ht="43.5" customHeight="1" thickBot="1">
      <c r="B32" s="440">
        <v>17</v>
      </c>
      <c r="C32" s="89"/>
      <c r="D32" s="91"/>
      <c r="E32" s="56"/>
      <c r="F32" s="56" t="s">
        <v>810</v>
      </c>
      <c r="G32" s="107">
        <v>2523</v>
      </c>
      <c r="H32" s="107"/>
      <c r="I32" s="107"/>
      <c r="J32" s="107"/>
      <c r="K32" s="107"/>
      <c r="L32" s="107"/>
      <c r="M32" s="458">
        <v>-2523</v>
      </c>
      <c r="N32" s="451"/>
      <c r="O32" s="459"/>
      <c r="P32" s="459"/>
      <c r="Q32" s="460">
        <v>-2523</v>
      </c>
      <c r="R32" s="583"/>
      <c r="S32" s="461"/>
      <c r="T32" s="56"/>
      <c r="U32" s="440" t="s">
        <v>421</v>
      </c>
      <c r="V32" s="443">
        <f t="shared" si="1"/>
        <v>0</v>
      </c>
      <c r="AC32" s="441"/>
      <c r="AD32" s="444">
        <f t="shared" si="2"/>
        <v>0</v>
      </c>
      <c r="AE32" s="207" t="str">
        <f t="shared" si="3"/>
        <v>OK</v>
      </c>
    </row>
    <row r="33" spans="2:31" ht="31.5" customHeight="1" thickBot="1">
      <c r="B33" s="442">
        <v>18</v>
      </c>
      <c r="C33" s="108"/>
      <c r="D33" s="96"/>
      <c r="E33" s="57"/>
      <c r="F33" s="57" t="s">
        <v>478</v>
      </c>
      <c r="G33" s="313">
        <v>53624</v>
      </c>
      <c r="H33" s="105"/>
      <c r="I33" s="105"/>
      <c r="J33" s="105"/>
      <c r="K33" s="105"/>
      <c r="L33" s="393"/>
      <c r="M33" s="462">
        <v>-53624</v>
      </c>
      <c r="N33" s="463"/>
      <c r="O33" s="464"/>
      <c r="P33" s="464">
        <v>-53000</v>
      </c>
      <c r="Q33" s="465">
        <v>-624</v>
      </c>
      <c r="R33" s="582"/>
      <c r="S33" s="465"/>
      <c r="T33" s="57" t="s">
        <v>811</v>
      </c>
      <c r="U33" s="440" t="s">
        <v>421</v>
      </c>
      <c r="V33" s="443">
        <f t="shared" si="1"/>
        <v>0</v>
      </c>
      <c r="X33" s="594"/>
      <c r="Y33" s="594"/>
      <c r="Z33" s="594"/>
      <c r="AA33" s="594"/>
      <c r="AB33" s="594"/>
      <c r="AC33" s="601"/>
      <c r="AD33" s="444">
        <f t="shared" si="2"/>
        <v>0</v>
      </c>
      <c r="AE33" s="207" t="str">
        <f t="shared" si="3"/>
        <v>OK</v>
      </c>
    </row>
    <row r="34" spans="2:31" ht="31.5" customHeight="1">
      <c r="B34" s="440">
        <v>19</v>
      </c>
      <c r="C34" s="89"/>
      <c r="D34" s="91"/>
      <c r="E34" s="51" t="s">
        <v>732</v>
      </c>
      <c r="F34" s="50" t="s">
        <v>733</v>
      </c>
      <c r="G34" s="132">
        <v>620597</v>
      </c>
      <c r="H34" s="132"/>
      <c r="I34" s="132"/>
      <c r="J34" s="132"/>
      <c r="K34" s="132"/>
      <c r="L34" s="176"/>
      <c r="M34" s="445">
        <v>-310298</v>
      </c>
      <c r="N34" s="446"/>
      <c r="O34" s="447"/>
      <c r="P34" s="447"/>
      <c r="Q34" s="450">
        <v>-310298</v>
      </c>
      <c r="R34" s="449"/>
      <c r="S34" s="448"/>
      <c r="T34" s="142" t="s">
        <v>94</v>
      </c>
      <c r="U34" s="440" t="s">
        <v>421</v>
      </c>
      <c r="V34" s="443">
        <f t="shared" si="1"/>
        <v>0</v>
      </c>
      <c r="AD34" s="444">
        <f t="shared" si="2"/>
        <v>0</v>
      </c>
      <c r="AE34" s="207" t="str">
        <f t="shared" si="3"/>
        <v>OK</v>
      </c>
    </row>
    <row r="35" spans="2:31" ht="31.5" customHeight="1">
      <c r="B35" s="442">
        <v>20</v>
      </c>
      <c r="C35" s="89"/>
      <c r="D35" s="92"/>
      <c r="E35" s="50" t="s">
        <v>736</v>
      </c>
      <c r="F35" s="50" t="s">
        <v>737</v>
      </c>
      <c r="G35" s="132">
        <v>66796</v>
      </c>
      <c r="H35" s="132"/>
      <c r="I35" s="132"/>
      <c r="J35" s="132"/>
      <c r="K35" s="132"/>
      <c r="L35" s="176"/>
      <c r="M35" s="445">
        <v>-34000</v>
      </c>
      <c r="N35" s="446">
        <v>-15000</v>
      </c>
      <c r="O35" s="447"/>
      <c r="P35" s="447"/>
      <c r="Q35" s="450">
        <v>-19000</v>
      </c>
      <c r="R35" s="449"/>
      <c r="S35" s="448"/>
      <c r="T35" s="142" t="s">
        <v>386</v>
      </c>
      <c r="U35" s="440" t="s">
        <v>421</v>
      </c>
      <c r="V35" s="443">
        <f t="shared" si="1"/>
        <v>0</v>
      </c>
      <c r="AD35" s="444">
        <f t="shared" si="2"/>
        <v>0</v>
      </c>
      <c r="AE35" s="207" t="str">
        <f t="shared" si="3"/>
        <v>OK</v>
      </c>
    </row>
    <row r="36" spans="2:31" ht="40.5" customHeight="1" thickBot="1">
      <c r="B36" s="440">
        <v>21</v>
      </c>
      <c r="C36" s="89"/>
      <c r="D36" s="93" t="s">
        <v>125</v>
      </c>
      <c r="E36" s="50" t="s">
        <v>126</v>
      </c>
      <c r="F36" s="50" t="s">
        <v>127</v>
      </c>
      <c r="G36" s="132">
        <v>187443</v>
      </c>
      <c r="H36" s="132"/>
      <c r="I36" s="132"/>
      <c r="J36" s="132"/>
      <c r="K36" s="132"/>
      <c r="L36" s="176"/>
      <c r="M36" s="445">
        <v>-187443</v>
      </c>
      <c r="N36" s="446"/>
      <c r="O36" s="447"/>
      <c r="P36" s="447"/>
      <c r="Q36" s="450">
        <v>-187443</v>
      </c>
      <c r="R36" s="154"/>
      <c r="S36" s="448"/>
      <c r="T36" s="350"/>
      <c r="U36" s="440" t="s">
        <v>421</v>
      </c>
      <c r="V36" s="443">
        <f t="shared" si="1"/>
        <v>0</v>
      </c>
      <c r="Z36" s="451"/>
      <c r="AA36" s="451"/>
      <c r="AB36" s="451"/>
      <c r="AC36" s="441">
        <f>O36-W36-X36-Y36-Z36-AB36</f>
        <v>0</v>
      </c>
      <c r="AD36" s="444">
        <f t="shared" si="2"/>
        <v>0</v>
      </c>
      <c r="AE36" s="207" t="str">
        <f t="shared" si="3"/>
        <v>OK</v>
      </c>
    </row>
    <row r="37" spans="2:31" ht="31.5" customHeight="1" thickBot="1">
      <c r="B37" s="442">
        <v>22</v>
      </c>
      <c r="C37" s="108"/>
      <c r="D37" s="96" t="s">
        <v>102</v>
      </c>
      <c r="E37" s="57" t="s">
        <v>103</v>
      </c>
      <c r="F37" s="57" t="s">
        <v>617</v>
      </c>
      <c r="G37" s="313">
        <v>2552092</v>
      </c>
      <c r="H37" s="105"/>
      <c r="I37" s="105"/>
      <c r="J37" s="105"/>
      <c r="K37" s="105"/>
      <c r="L37" s="393"/>
      <c r="M37" s="462">
        <v>-877314</v>
      </c>
      <c r="N37" s="463"/>
      <c r="O37" s="464">
        <v>-877314</v>
      </c>
      <c r="P37" s="464"/>
      <c r="Q37" s="465"/>
      <c r="R37" s="466"/>
      <c r="S37" s="465"/>
      <c r="T37" s="144"/>
      <c r="U37" s="440" t="s">
        <v>421</v>
      </c>
      <c r="V37" s="443">
        <f t="shared" si="1"/>
        <v>0</v>
      </c>
      <c r="X37" s="594"/>
      <c r="Y37" s="594"/>
      <c r="Z37" s="594"/>
      <c r="AA37" s="594"/>
      <c r="AB37" s="467">
        <v>-877314</v>
      </c>
      <c r="AC37" s="594"/>
      <c r="AD37" s="444">
        <f t="shared" si="2"/>
        <v>-877314</v>
      </c>
      <c r="AE37" s="207" t="str">
        <f t="shared" si="3"/>
        <v>OK</v>
      </c>
    </row>
    <row r="38" spans="2:31" ht="39" customHeight="1">
      <c r="B38" s="440">
        <v>23</v>
      </c>
      <c r="C38" s="89"/>
      <c r="D38" s="92" t="s">
        <v>128</v>
      </c>
      <c r="E38" s="50" t="s">
        <v>129</v>
      </c>
      <c r="F38" s="50" t="s">
        <v>734</v>
      </c>
      <c r="G38" s="132">
        <v>5034</v>
      </c>
      <c r="H38" s="132"/>
      <c r="I38" s="132"/>
      <c r="J38" s="132"/>
      <c r="K38" s="132"/>
      <c r="L38" s="176"/>
      <c r="M38" s="445">
        <v>-5034</v>
      </c>
      <c r="N38" s="446">
        <v>-4000</v>
      </c>
      <c r="O38" s="447"/>
      <c r="P38" s="447"/>
      <c r="Q38" s="450">
        <v>-1034</v>
      </c>
      <c r="R38" s="449"/>
      <c r="S38" s="448"/>
      <c r="T38" s="142"/>
      <c r="U38" s="440" t="s">
        <v>421</v>
      </c>
      <c r="V38" s="443">
        <f t="shared" si="1"/>
        <v>0</v>
      </c>
      <c r="AD38" s="444">
        <f t="shared" si="2"/>
        <v>0</v>
      </c>
      <c r="AE38" s="207" t="str">
        <f t="shared" si="3"/>
        <v>OK</v>
      </c>
    </row>
    <row r="39" spans="2:32" ht="58.5" customHeight="1" thickBot="1">
      <c r="B39" s="442">
        <v>24</v>
      </c>
      <c r="C39" s="89"/>
      <c r="D39" s="90"/>
      <c r="E39" s="50"/>
      <c r="F39" s="50" t="s">
        <v>735</v>
      </c>
      <c r="G39" s="132">
        <v>35802</v>
      </c>
      <c r="H39" s="132"/>
      <c r="I39" s="132"/>
      <c r="J39" s="132"/>
      <c r="K39" s="132"/>
      <c r="L39" s="176"/>
      <c r="M39" s="445">
        <v>-35802</v>
      </c>
      <c r="N39" s="446"/>
      <c r="O39" s="447">
        <v>-18440</v>
      </c>
      <c r="P39" s="447"/>
      <c r="Q39" s="450">
        <f>M39-O39</f>
        <v>-17362</v>
      </c>
      <c r="R39" s="449"/>
      <c r="S39" s="448"/>
      <c r="T39" s="142" t="s">
        <v>658</v>
      </c>
      <c r="U39" s="440" t="s">
        <v>421</v>
      </c>
      <c r="V39" s="443">
        <f t="shared" si="1"/>
        <v>0</v>
      </c>
      <c r="AB39" s="451">
        <v>-18440</v>
      </c>
      <c r="AD39" s="444">
        <f t="shared" si="2"/>
        <v>-18440</v>
      </c>
      <c r="AE39" s="207" t="str">
        <f t="shared" si="3"/>
        <v>OK</v>
      </c>
      <c r="AF39" s="451">
        <v>-18440</v>
      </c>
    </row>
    <row r="40" spans="2:31" ht="31.5" customHeight="1" thickBot="1">
      <c r="B40" s="440">
        <v>25</v>
      </c>
      <c r="C40" s="108"/>
      <c r="D40" s="96"/>
      <c r="E40" s="57"/>
      <c r="F40" s="57" t="s">
        <v>818</v>
      </c>
      <c r="G40" s="313">
        <v>133540</v>
      </c>
      <c r="H40" s="105"/>
      <c r="I40" s="105"/>
      <c r="J40" s="105"/>
      <c r="K40" s="105"/>
      <c r="L40" s="393"/>
      <c r="M40" s="462">
        <v>-133540</v>
      </c>
      <c r="N40" s="468"/>
      <c r="O40" s="468"/>
      <c r="P40" s="468">
        <v>-123000</v>
      </c>
      <c r="Q40" s="465">
        <v>-10540</v>
      </c>
      <c r="R40" s="466"/>
      <c r="S40" s="465"/>
      <c r="T40" s="144" t="s">
        <v>757</v>
      </c>
      <c r="U40" s="440" t="s">
        <v>421</v>
      </c>
      <c r="V40" s="443">
        <f t="shared" si="1"/>
        <v>0</v>
      </c>
      <c r="X40" s="594"/>
      <c r="Y40" s="594"/>
      <c r="Z40" s="594"/>
      <c r="AA40" s="594"/>
      <c r="AB40" s="467"/>
      <c r="AC40" s="594"/>
      <c r="AD40" s="444">
        <f t="shared" si="2"/>
        <v>0</v>
      </c>
      <c r="AE40" s="207" t="str">
        <f t="shared" si="3"/>
        <v>OK</v>
      </c>
    </row>
    <row r="41" spans="3:31" ht="31.5" customHeight="1">
      <c r="C41" s="100"/>
      <c r="D41" s="192"/>
      <c r="E41" s="180"/>
      <c r="F41" s="180" t="s">
        <v>403</v>
      </c>
      <c r="G41" s="529">
        <f>SUM(G17:G40)</f>
        <v>13464885</v>
      </c>
      <c r="H41" s="181">
        <f>SUM(H17:H40)</f>
        <v>0</v>
      </c>
      <c r="I41" s="181">
        <f>SUM(I17:I40)</f>
        <v>178853</v>
      </c>
      <c r="J41" s="181">
        <f>SUM(J17:J40)</f>
        <v>5600000</v>
      </c>
      <c r="K41" s="181">
        <f>SUM(K17:K40)</f>
        <v>7232959</v>
      </c>
      <c r="L41" s="182"/>
      <c r="M41" s="469">
        <f>SUM(M17:M40)</f>
        <v>-4514158</v>
      </c>
      <c r="N41" s="470">
        <f>SUM(N17:N40)</f>
        <v>-20223</v>
      </c>
      <c r="O41" s="470">
        <f>SUM(O17:O40)</f>
        <v>-1991918</v>
      </c>
      <c r="P41" s="470">
        <f>SUM(P17:P40)</f>
        <v>-176000</v>
      </c>
      <c r="Q41" s="471">
        <f>SUM(Q17:Q40)</f>
        <v>-2326017</v>
      </c>
      <c r="R41" s="472"/>
      <c r="S41" s="473"/>
      <c r="T41" s="126"/>
      <c r="V41" s="443">
        <f t="shared" si="1"/>
        <v>0</v>
      </c>
      <c r="X41" s="451">
        <f aca="true" t="shared" si="6" ref="X41:AC41">SUM(X18:X39)</f>
        <v>0</v>
      </c>
      <c r="Y41" s="451">
        <f t="shared" si="6"/>
        <v>0</v>
      </c>
      <c r="Z41" s="451">
        <f t="shared" si="6"/>
        <v>0</v>
      </c>
      <c r="AA41" s="451">
        <f t="shared" si="6"/>
        <v>0</v>
      </c>
      <c r="AB41" s="451">
        <f t="shared" si="6"/>
        <v>-917824</v>
      </c>
      <c r="AC41" s="451">
        <f t="shared" si="6"/>
        <v>-1074094</v>
      </c>
      <c r="AD41" s="444">
        <f t="shared" si="2"/>
        <v>-1991918</v>
      </c>
      <c r="AE41" s="207" t="str">
        <f t="shared" si="3"/>
        <v>OK</v>
      </c>
    </row>
    <row r="42" spans="2:31" ht="31.5" customHeight="1">
      <c r="B42" s="440">
        <v>26</v>
      </c>
      <c r="C42" s="89" t="s">
        <v>438</v>
      </c>
      <c r="D42" s="93" t="s">
        <v>439</v>
      </c>
      <c r="E42" s="38" t="s">
        <v>454</v>
      </c>
      <c r="F42" s="50" t="s">
        <v>455</v>
      </c>
      <c r="G42" s="132">
        <v>422339</v>
      </c>
      <c r="H42" s="132">
        <f>G42*2/3</f>
        <v>281559.3333333333</v>
      </c>
      <c r="I42" s="132"/>
      <c r="J42" s="132"/>
      <c r="K42" s="132">
        <f>G42*1/3</f>
        <v>140779.66666666666</v>
      </c>
      <c r="L42" s="176"/>
      <c r="M42" s="445">
        <v>-422339</v>
      </c>
      <c r="N42" s="446">
        <v>-281559</v>
      </c>
      <c r="O42" s="447"/>
      <c r="P42" s="447"/>
      <c r="Q42" s="450">
        <v>-140780</v>
      </c>
      <c r="R42" s="449"/>
      <c r="S42" s="448"/>
      <c r="T42" s="142"/>
      <c r="U42" s="440" t="s">
        <v>752</v>
      </c>
      <c r="V42" s="443">
        <f t="shared" si="1"/>
        <v>0</v>
      </c>
      <c r="AD42" s="444">
        <f t="shared" si="2"/>
        <v>0</v>
      </c>
      <c r="AE42" s="207" t="str">
        <f t="shared" si="3"/>
        <v>OK</v>
      </c>
    </row>
    <row r="43" spans="2:31" ht="49.5" customHeight="1">
      <c r="B43" s="440">
        <v>27</v>
      </c>
      <c r="C43" s="89"/>
      <c r="D43" s="91"/>
      <c r="E43" s="56"/>
      <c r="F43" s="50" t="s">
        <v>404</v>
      </c>
      <c r="G43" s="132">
        <v>12694</v>
      </c>
      <c r="H43" s="132"/>
      <c r="I43" s="132"/>
      <c r="J43" s="132"/>
      <c r="K43" s="132"/>
      <c r="L43" s="176"/>
      <c r="M43" s="445">
        <v>-12694</v>
      </c>
      <c r="N43" s="446">
        <v>-12420</v>
      </c>
      <c r="O43" s="447"/>
      <c r="P43" s="447"/>
      <c r="Q43" s="450">
        <v>-274</v>
      </c>
      <c r="R43" s="449"/>
      <c r="S43" s="448"/>
      <c r="T43" s="142"/>
      <c r="U43" s="440" t="s">
        <v>421</v>
      </c>
      <c r="V43" s="443">
        <f t="shared" si="1"/>
        <v>0</v>
      </c>
      <c r="AD43" s="444">
        <f t="shared" si="2"/>
        <v>0</v>
      </c>
      <c r="AE43" s="207" t="str">
        <f t="shared" si="3"/>
        <v>OK</v>
      </c>
    </row>
    <row r="44" spans="2:31" ht="49.5" customHeight="1">
      <c r="B44" s="440">
        <v>28</v>
      </c>
      <c r="C44" s="89"/>
      <c r="D44" s="91" t="s">
        <v>84</v>
      </c>
      <c r="E44" s="50" t="s">
        <v>405</v>
      </c>
      <c r="F44" s="50"/>
      <c r="G44" s="132">
        <v>63650</v>
      </c>
      <c r="H44" s="132"/>
      <c r="I44" s="132"/>
      <c r="J44" s="132"/>
      <c r="K44" s="132"/>
      <c r="L44" s="176"/>
      <c r="M44" s="445">
        <v>-63650</v>
      </c>
      <c r="N44" s="446">
        <v>-42433</v>
      </c>
      <c r="O44" s="447"/>
      <c r="P44" s="447">
        <v>-20900</v>
      </c>
      <c r="Q44" s="450">
        <v>-317</v>
      </c>
      <c r="R44" s="449"/>
      <c r="S44" s="448"/>
      <c r="T44" s="142"/>
      <c r="U44" s="440" t="s">
        <v>421</v>
      </c>
      <c r="V44" s="443">
        <f t="shared" si="1"/>
        <v>0</v>
      </c>
      <c r="AD44" s="444">
        <f t="shared" si="2"/>
        <v>0</v>
      </c>
      <c r="AE44" s="207" t="str">
        <f t="shared" si="3"/>
        <v>OK</v>
      </c>
    </row>
    <row r="45" spans="3:31" ht="49.5" customHeight="1">
      <c r="C45" s="99"/>
      <c r="D45" s="91"/>
      <c r="E45" s="51"/>
      <c r="F45" s="50" t="s">
        <v>403</v>
      </c>
      <c r="G45" s="532">
        <f>SUM(G42:G44)</f>
        <v>498683</v>
      </c>
      <c r="H45" s="132">
        <f>SUM(H42:H44)</f>
        <v>281559.3333333333</v>
      </c>
      <c r="I45" s="132">
        <f>SUM(I42:I44)</f>
        <v>0</v>
      </c>
      <c r="J45" s="132">
        <f>SUM(J42:J44)</f>
        <v>0</v>
      </c>
      <c r="K45" s="132">
        <f>SUM(K42:K44)</f>
        <v>140779.66666666666</v>
      </c>
      <c r="L45" s="176"/>
      <c r="M45" s="445">
        <f>SUM(M42:M44)</f>
        <v>-498683</v>
      </c>
      <c r="N45" s="446">
        <f>SUM(N42:N44)</f>
        <v>-336412</v>
      </c>
      <c r="O45" s="447">
        <f>SUM(O42:O44)</f>
        <v>0</v>
      </c>
      <c r="P45" s="447">
        <f>SUM(P42:P44)</f>
        <v>-20900</v>
      </c>
      <c r="Q45" s="450">
        <f>SUM(Q42:Q44)</f>
        <v>-141371</v>
      </c>
      <c r="R45" s="449"/>
      <c r="S45" s="448"/>
      <c r="T45" s="142"/>
      <c r="V45" s="443">
        <f t="shared" si="1"/>
        <v>0</v>
      </c>
      <c r="X45" s="451">
        <f aca="true" t="shared" si="7" ref="X45:AC45">SUM(X42:X44)</f>
        <v>0</v>
      </c>
      <c r="Y45" s="451">
        <f t="shared" si="7"/>
        <v>0</v>
      </c>
      <c r="Z45" s="451">
        <f t="shared" si="7"/>
        <v>0</v>
      </c>
      <c r="AA45" s="451">
        <f t="shared" si="7"/>
        <v>0</v>
      </c>
      <c r="AB45" s="447">
        <f t="shared" si="7"/>
        <v>0</v>
      </c>
      <c r="AC45" s="451">
        <f t="shared" si="7"/>
        <v>0</v>
      </c>
      <c r="AD45" s="444">
        <f t="shared" si="2"/>
        <v>0</v>
      </c>
      <c r="AE45" s="207" t="str">
        <f t="shared" si="3"/>
        <v>OK</v>
      </c>
    </row>
    <row r="46" spans="2:31" ht="48" customHeight="1">
      <c r="B46" s="440">
        <v>29</v>
      </c>
      <c r="C46" s="89" t="s">
        <v>231</v>
      </c>
      <c r="D46" s="92" t="s">
        <v>230</v>
      </c>
      <c r="E46" s="50" t="s">
        <v>443</v>
      </c>
      <c r="F46" s="50"/>
      <c r="G46" s="132">
        <v>2805</v>
      </c>
      <c r="H46" s="132"/>
      <c r="I46" s="132"/>
      <c r="J46" s="132"/>
      <c r="K46" s="132"/>
      <c r="L46" s="176"/>
      <c r="M46" s="445">
        <v>-2805</v>
      </c>
      <c r="N46" s="446"/>
      <c r="O46" s="447"/>
      <c r="P46" s="447"/>
      <c r="Q46" s="450">
        <v>-2805</v>
      </c>
      <c r="R46" s="449"/>
      <c r="S46" s="448"/>
      <c r="T46" s="142" t="s">
        <v>35</v>
      </c>
      <c r="U46" s="440" t="s">
        <v>421</v>
      </c>
      <c r="V46" s="443">
        <f t="shared" si="1"/>
        <v>0</v>
      </c>
      <c r="AD46" s="444">
        <f t="shared" si="2"/>
        <v>0</v>
      </c>
      <c r="AE46" s="207" t="str">
        <f t="shared" si="3"/>
        <v>OK</v>
      </c>
    </row>
    <row r="47" spans="2:31" ht="48" customHeight="1" thickBot="1">
      <c r="B47" s="440">
        <v>30</v>
      </c>
      <c r="C47" s="89"/>
      <c r="D47" s="91" t="s">
        <v>86</v>
      </c>
      <c r="E47" s="63" t="s">
        <v>87</v>
      </c>
      <c r="F47" s="56" t="s">
        <v>88</v>
      </c>
      <c r="G47" s="133">
        <v>87000</v>
      </c>
      <c r="H47" s="133"/>
      <c r="I47" s="133"/>
      <c r="J47" s="133"/>
      <c r="K47" s="133"/>
      <c r="L47" s="107"/>
      <c r="M47" s="474">
        <v>-87000</v>
      </c>
      <c r="N47" s="475"/>
      <c r="O47" s="459"/>
      <c r="P47" s="459"/>
      <c r="Q47" s="460">
        <v>-87000</v>
      </c>
      <c r="R47" s="451"/>
      <c r="S47" s="461"/>
      <c r="T47" s="143" t="s">
        <v>708</v>
      </c>
      <c r="U47" s="440" t="s">
        <v>421</v>
      </c>
      <c r="V47" s="443">
        <f t="shared" si="1"/>
        <v>0</v>
      </c>
      <c r="AD47" s="444">
        <f t="shared" si="2"/>
        <v>0</v>
      </c>
      <c r="AE47" s="207" t="str">
        <f t="shared" si="3"/>
        <v>OK</v>
      </c>
    </row>
    <row r="48" spans="3:31" ht="31.5" customHeight="1" thickBot="1">
      <c r="C48" s="100"/>
      <c r="D48" s="96"/>
      <c r="E48" s="63"/>
      <c r="F48" s="57" t="s">
        <v>403</v>
      </c>
      <c r="G48" s="530">
        <f>SUM(G46:G47)</f>
        <v>89805</v>
      </c>
      <c r="H48" s="103"/>
      <c r="I48" s="103"/>
      <c r="J48" s="103"/>
      <c r="K48" s="103"/>
      <c r="L48" s="121"/>
      <c r="M48" s="463">
        <f>SUM(M46:M47)</f>
        <v>-89805</v>
      </c>
      <c r="N48" s="476">
        <f>SUM(N46:N47)</f>
        <v>0</v>
      </c>
      <c r="O48" s="464">
        <f>SUM(O46:O47)</f>
        <v>0</v>
      </c>
      <c r="P48" s="464">
        <f>SUM(P46:P47)</f>
        <v>0</v>
      </c>
      <c r="Q48" s="465">
        <f>SUM(Q46:Q47)</f>
        <v>-89805</v>
      </c>
      <c r="R48" s="466"/>
      <c r="S48" s="465"/>
      <c r="T48" s="144"/>
      <c r="V48" s="443">
        <f t="shared" si="1"/>
        <v>0</v>
      </c>
      <c r="X48" s="463">
        <f aca="true" t="shared" si="8" ref="X48:AC48">SUM(X46:X47)</f>
        <v>0</v>
      </c>
      <c r="Y48" s="463">
        <f t="shared" si="8"/>
        <v>0</v>
      </c>
      <c r="Z48" s="463">
        <f t="shared" si="8"/>
        <v>0</v>
      </c>
      <c r="AA48" s="463">
        <f t="shared" si="8"/>
        <v>0</v>
      </c>
      <c r="AB48" s="463">
        <f t="shared" si="8"/>
        <v>0</v>
      </c>
      <c r="AC48" s="463">
        <f t="shared" si="8"/>
        <v>0</v>
      </c>
      <c r="AD48" s="444">
        <f t="shared" si="2"/>
        <v>0</v>
      </c>
      <c r="AE48" s="207" t="str">
        <f t="shared" si="3"/>
        <v>OK</v>
      </c>
    </row>
    <row r="49" spans="2:31" ht="55.5" customHeight="1" thickBot="1">
      <c r="B49" s="440">
        <v>31</v>
      </c>
      <c r="C49" s="151" t="s">
        <v>196</v>
      </c>
      <c r="D49" s="91" t="s">
        <v>598</v>
      </c>
      <c r="E49" s="50" t="s">
        <v>599</v>
      </c>
      <c r="F49" s="50" t="s">
        <v>600</v>
      </c>
      <c r="G49" s="132">
        <v>12326</v>
      </c>
      <c r="H49" s="132"/>
      <c r="I49" s="132"/>
      <c r="J49" s="132"/>
      <c r="K49" s="132"/>
      <c r="L49" s="176"/>
      <c r="M49" s="445">
        <v>-11000</v>
      </c>
      <c r="N49" s="446"/>
      <c r="O49" s="447"/>
      <c r="P49" s="447"/>
      <c r="Q49" s="450">
        <v>-11000</v>
      </c>
      <c r="R49" s="449"/>
      <c r="S49" s="448"/>
      <c r="T49" s="142"/>
      <c r="U49" s="440" t="s">
        <v>421</v>
      </c>
      <c r="V49" s="443">
        <f t="shared" si="1"/>
        <v>0</v>
      </c>
      <c r="X49" s="451"/>
      <c r="Y49" s="451"/>
      <c r="Z49" s="451"/>
      <c r="AA49" s="451"/>
      <c r="AB49" s="451"/>
      <c r="AC49" s="451"/>
      <c r="AD49" s="444">
        <f t="shared" si="2"/>
        <v>0</v>
      </c>
      <c r="AE49" s="207" t="str">
        <f t="shared" si="3"/>
        <v>OK</v>
      </c>
    </row>
    <row r="50" spans="2:31" ht="54" customHeight="1">
      <c r="B50" s="440">
        <v>32</v>
      </c>
      <c r="C50" s="434"/>
      <c r="D50" s="90" t="s">
        <v>199</v>
      </c>
      <c r="E50" s="50" t="s">
        <v>200</v>
      </c>
      <c r="F50" s="50" t="s">
        <v>201</v>
      </c>
      <c r="G50" s="132">
        <v>700</v>
      </c>
      <c r="H50" s="541"/>
      <c r="I50" s="545"/>
      <c r="J50" s="545"/>
      <c r="K50" s="552"/>
      <c r="L50" s="176"/>
      <c r="M50" s="445">
        <v>-700</v>
      </c>
      <c r="N50" s="446"/>
      <c r="O50" s="447"/>
      <c r="P50" s="447"/>
      <c r="Q50" s="450">
        <v>-700</v>
      </c>
      <c r="R50" s="449"/>
      <c r="S50" s="448"/>
      <c r="T50" s="142"/>
      <c r="U50" s="440" t="s">
        <v>421</v>
      </c>
      <c r="V50" s="443">
        <f t="shared" si="1"/>
        <v>0</v>
      </c>
      <c r="X50" s="478"/>
      <c r="Y50" s="478"/>
      <c r="Z50" s="478"/>
      <c r="AA50" s="478"/>
      <c r="AB50" s="478"/>
      <c r="AC50" s="478"/>
      <c r="AD50" s="444">
        <f t="shared" si="2"/>
        <v>0</v>
      </c>
      <c r="AE50" s="207" t="str">
        <f t="shared" si="3"/>
        <v>OK</v>
      </c>
    </row>
    <row r="51" spans="2:31" ht="45" customHeight="1">
      <c r="B51" s="440">
        <v>33</v>
      </c>
      <c r="C51" s="99"/>
      <c r="D51" s="92" t="s">
        <v>377</v>
      </c>
      <c r="E51" s="50" t="s">
        <v>376</v>
      </c>
      <c r="F51" s="50" t="s">
        <v>836</v>
      </c>
      <c r="G51" s="132">
        <v>2705</v>
      </c>
      <c r="H51" s="398"/>
      <c r="I51" s="184"/>
      <c r="J51" s="184"/>
      <c r="K51" s="185"/>
      <c r="L51" s="176"/>
      <c r="M51" s="445">
        <v>-2705</v>
      </c>
      <c r="N51" s="446"/>
      <c r="O51" s="447"/>
      <c r="P51" s="447"/>
      <c r="Q51" s="450">
        <v>-2705</v>
      </c>
      <c r="R51" s="449"/>
      <c r="S51" s="448"/>
      <c r="T51" s="142"/>
      <c r="U51" s="440" t="s">
        <v>421</v>
      </c>
      <c r="V51" s="443">
        <f t="shared" si="1"/>
        <v>0</v>
      </c>
      <c r="X51" s="592"/>
      <c r="Y51" s="478"/>
      <c r="Z51" s="478"/>
      <c r="AA51" s="478"/>
      <c r="AB51" s="478"/>
      <c r="AC51" s="478"/>
      <c r="AD51" s="444">
        <f t="shared" si="2"/>
        <v>0</v>
      </c>
      <c r="AE51" s="207" t="str">
        <f t="shared" si="3"/>
        <v>OK</v>
      </c>
    </row>
    <row r="52" spans="2:31" ht="36" customHeight="1">
      <c r="B52" s="440">
        <v>34</v>
      </c>
      <c r="C52" s="99"/>
      <c r="D52" s="90"/>
      <c r="E52" s="50"/>
      <c r="F52" s="50" t="s">
        <v>601</v>
      </c>
      <c r="G52" s="132">
        <v>12505</v>
      </c>
      <c r="H52" s="398"/>
      <c r="I52" s="184"/>
      <c r="J52" s="184"/>
      <c r="K52" s="185"/>
      <c r="L52" s="176"/>
      <c r="M52" s="445">
        <v>-1050</v>
      </c>
      <c r="N52" s="446"/>
      <c r="O52" s="447"/>
      <c r="P52" s="447"/>
      <c r="Q52" s="450">
        <v>-1050</v>
      </c>
      <c r="R52" s="449"/>
      <c r="S52" s="448"/>
      <c r="T52" s="142" t="s">
        <v>606</v>
      </c>
      <c r="U52" s="440" t="s">
        <v>421</v>
      </c>
      <c r="V52" s="443">
        <f t="shared" si="1"/>
        <v>0</v>
      </c>
      <c r="X52" s="592"/>
      <c r="Y52" s="478"/>
      <c r="Z52" s="478"/>
      <c r="AA52" s="478"/>
      <c r="AB52" s="478"/>
      <c r="AC52" s="478"/>
      <c r="AD52" s="444">
        <f t="shared" si="2"/>
        <v>0</v>
      </c>
      <c r="AE52" s="207" t="str">
        <f t="shared" si="3"/>
        <v>OK</v>
      </c>
    </row>
    <row r="53" spans="2:31" ht="42" customHeight="1">
      <c r="B53" s="440">
        <v>35</v>
      </c>
      <c r="C53" s="99"/>
      <c r="D53" s="93"/>
      <c r="E53" s="38" t="s">
        <v>38</v>
      </c>
      <c r="F53" s="50" t="s">
        <v>831</v>
      </c>
      <c r="G53" s="132">
        <v>49423</v>
      </c>
      <c r="H53" s="398"/>
      <c r="I53" s="184"/>
      <c r="J53" s="184"/>
      <c r="K53" s="185"/>
      <c r="L53" s="176"/>
      <c r="M53" s="445">
        <v>-49423</v>
      </c>
      <c r="N53" s="446"/>
      <c r="O53" s="447">
        <v>-49423</v>
      </c>
      <c r="P53" s="447"/>
      <c r="Q53" s="450"/>
      <c r="R53" s="449"/>
      <c r="S53" s="448"/>
      <c r="T53" s="142"/>
      <c r="U53" s="440" t="s">
        <v>421</v>
      </c>
      <c r="V53" s="443">
        <f t="shared" si="1"/>
        <v>0</v>
      </c>
      <c r="X53" s="478"/>
      <c r="Y53" s="478"/>
      <c r="Z53" s="478"/>
      <c r="AA53" s="478"/>
      <c r="AB53" s="454">
        <v>-49423</v>
      </c>
      <c r="AC53" s="478"/>
      <c r="AD53" s="444">
        <f t="shared" si="2"/>
        <v>-49423</v>
      </c>
      <c r="AE53" s="207" t="str">
        <f t="shared" si="3"/>
        <v>OK</v>
      </c>
    </row>
    <row r="54" spans="2:31" ht="41.25" customHeight="1">
      <c r="B54" s="440">
        <v>36</v>
      </c>
      <c r="C54" s="99"/>
      <c r="D54" s="90"/>
      <c r="E54" s="56"/>
      <c r="F54" s="50" t="s">
        <v>512</v>
      </c>
      <c r="G54" s="132">
        <v>5761</v>
      </c>
      <c r="H54" s="398"/>
      <c r="I54" s="184"/>
      <c r="J54" s="184"/>
      <c r="K54" s="185"/>
      <c r="L54" s="176"/>
      <c r="M54" s="445">
        <v>-5761</v>
      </c>
      <c r="N54" s="446"/>
      <c r="O54" s="447"/>
      <c r="P54" s="447"/>
      <c r="Q54" s="450">
        <v>-5761</v>
      </c>
      <c r="R54" s="449"/>
      <c r="S54" s="448"/>
      <c r="T54" s="142"/>
      <c r="U54" s="440" t="s">
        <v>421</v>
      </c>
      <c r="V54" s="443">
        <f t="shared" si="1"/>
        <v>0</v>
      </c>
      <c r="X54" s="592"/>
      <c r="Y54" s="478"/>
      <c r="Z54" s="478"/>
      <c r="AA54" s="478"/>
      <c r="AB54" s="478"/>
      <c r="AC54" s="478"/>
      <c r="AD54" s="444">
        <f t="shared" si="2"/>
        <v>0</v>
      </c>
      <c r="AE54" s="207" t="str">
        <f t="shared" si="3"/>
        <v>OK</v>
      </c>
    </row>
    <row r="55" spans="2:31" ht="36.75" customHeight="1">
      <c r="B55" s="440">
        <v>37</v>
      </c>
      <c r="C55" s="99"/>
      <c r="D55" s="92" t="s">
        <v>793</v>
      </c>
      <c r="E55" s="50" t="s">
        <v>698</v>
      </c>
      <c r="F55" s="50"/>
      <c r="G55" s="132">
        <v>65421</v>
      </c>
      <c r="H55" s="398"/>
      <c r="I55" s="184"/>
      <c r="J55" s="184"/>
      <c r="K55" s="185"/>
      <c r="L55" s="176"/>
      <c r="M55" s="445">
        <v>-58617</v>
      </c>
      <c r="N55" s="446"/>
      <c r="O55" s="447"/>
      <c r="P55" s="447"/>
      <c r="Q55" s="450">
        <v>-58617</v>
      </c>
      <c r="R55" s="449"/>
      <c r="S55" s="448"/>
      <c r="T55" s="142" t="s">
        <v>462</v>
      </c>
      <c r="U55" s="440" t="s">
        <v>421</v>
      </c>
      <c r="V55" s="443">
        <f t="shared" si="1"/>
        <v>0</v>
      </c>
      <c r="X55" s="478"/>
      <c r="Y55" s="478"/>
      <c r="Z55" s="478"/>
      <c r="AA55" s="478"/>
      <c r="AB55" s="478"/>
      <c r="AC55" s="478"/>
      <c r="AD55" s="444">
        <f t="shared" si="2"/>
        <v>0</v>
      </c>
      <c r="AE55" s="207" t="str">
        <f t="shared" si="3"/>
        <v>OK</v>
      </c>
    </row>
    <row r="56" spans="3:31" ht="45.75" customHeight="1" thickBot="1">
      <c r="C56" s="99"/>
      <c r="D56" s="90"/>
      <c r="E56" s="51"/>
      <c r="F56" s="50" t="s">
        <v>403</v>
      </c>
      <c r="G56" s="132">
        <f aca="true" t="shared" si="9" ref="G56:Q56">SUM(G49:G55)</f>
        <v>148841</v>
      </c>
      <c r="H56" s="538">
        <f t="shared" si="9"/>
        <v>0</v>
      </c>
      <c r="I56" s="356">
        <f t="shared" si="9"/>
        <v>0</v>
      </c>
      <c r="J56" s="356">
        <f t="shared" si="9"/>
        <v>0</v>
      </c>
      <c r="K56" s="549">
        <f t="shared" si="9"/>
        <v>0</v>
      </c>
      <c r="L56" s="176">
        <f t="shared" si="9"/>
        <v>0</v>
      </c>
      <c r="M56" s="445">
        <f t="shared" si="9"/>
        <v>-129256</v>
      </c>
      <c r="N56" s="446">
        <f t="shared" si="9"/>
        <v>0</v>
      </c>
      <c r="O56" s="447">
        <f t="shared" si="9"/>
        <v>-49423</v>
      </c>
      <c r="P56" s="447">
        <f t="shared" si="9"/>
        <v>0</v>
      </c>
      <c r="Q56" s="450">
        <f t="shared" si="9"/>
        <v>-79833</v>
      </c>
      <c r="R56" s="449"/>
      <c r="S56" s="448"/>
      <c r="T56" s="142"/>
      <c r="V56" s="443">
        <f t="shared" si="1"/>
        <v>0</v>
      </c>
      <c r="X56" s="454">
        <f aca="true" t="shared" si="10" ref="X56:AC56">SUM(X49:X55)</f>
        <v>0</v>
      </c>
      <c r="Y56" s="454">
        <f t="shared" si="10"/>
        <v>0</v>
      </c>
      <c r="Z56" s="454">
        <f t="shared" si="10"/>
        <v>0</v>
      </c>
      <c r="AA56" s="454">
        <f t="shared" si="10"/>
        <v>0</v>
      </c>
      <c r="AB56" s="454">
        <f t="shared" si="10"/>
        <v>-49423</v>
      </c>
      <c r="AC56" s="454">
        <f t="shared" si="10"/>
        <v>0</v>
      </c>
      <c r="AD56" s="444">
        <f t="shared" si="2"/>
        <v>-49423</v>
      </c>
      <c r="AE56" s="207" t="str">
        <f t="shared" si="3"/>
        <v>OK</v>
      </c>
    </row>
    <row r="57" spans="2:31" ht="31.5" customHeight="1" thickBot="1">
      <c r="B57" s="440">
        <v>38</v>
      </c>
      <c r="C57" s="167" t="s">
        <v>406</v>
      </c>
      <c r="D57" s="96" t="s">
        <v>738</v>
      </c>
      <c r="E57" s="57" t="s">
        <v>739</v>
      </c>
      <c r="F57" s="57" t="s">
        <v>740</v>
      </c>
      <c r="G57" s="103">
        <v>55019</v>
      </c>
      <c r="H57" s="103"/>
      <c r="I57" s="103"/>
      <c r="J57" s="103"/>
      <c r="K57" s="103"/>
      <c r="L57" s="176"/>
      <c r="M57" s="463">
        <v>-55019</v>
      </c>
      <c r="N57" s="476"/>
      <c r="O57" s="464"/>
      <c r="P57" s="464"/>
      <c r="Q57" s="465">
        <v>-55019</v>
      </c>
      <c r="R57" s="466"/>
      <c r="S57" s="465"/>
      <c r="T57" s="144"/>
      <c r="U57" s="440" t="s">
        <v>421</v>
      </c>
      <c r="V57" s="443">
        <f t="shared" si="1"/>
        <v>0</v>
      </c>
      <c r="X57" s="595"/>
      <c r="Y57" s="595"/>
      <c r="Z57" s="595"/>
      <c r="AA57" s="595"/>
      <c r="AB57" s="595"/>
      <c r="AC57" s="595"/>
      <c r="AD57" s="444">
        <f t="shared" si="2"/>
        <v>0</v>
      </c>
      <c r="AE57" s="207" t="str">
        <f t="shared" si="3"/>
        <v>OK</v>
      </c>
    </row>
    <row r="58" spans="2:31" ht="51.75" customHeight="1" thickBot="1">
      <c r="B58" s="440">
        <v>39</v>
      </c>
      <c r="C58" s="88"/>
      <c r="D58" s="98" t="s">
        <v>716</v>
      </c>
      <c r="E58" s="51" t="s">
        <v>748</v>
      </c>
      <c r="F58" s="38"/>
      <c r="G58" s="131">
        <v>8120231</v>
      </c>
      <c r="H58" s="535">
        <v>4435975</v>
      </c>
      <c r="I58" s="535">
        <v>994003</v>
      </c>
      <c r="J58" s="535">
        <v>2662000</v>
      </c>
      <c r="K58" s="535">
        <v>28253</v>
      </c>
      <c r="L58" s="449">
        <f t="shared" si="0"/>
        <v>0</v>
      </c>
      <c r="M58" s="452">
        <v>-2436069</v>
      </c>
      <c r="N58" s="453">
        <v>-1330792</v>
      </c>
      <c r="O58" s="454">
        <v>-298201</v>
      </c>
      <c r="P58" s="454">
        <v>-798600</v>
      </c>
      <c r="Q58" s="455">
        <v>-8476</v>
      </c>
      <c r="R58" s="456"/>
      <c r="S58" s="457"/>
      <c r="T58" s="129" t="s">
        <v>835</v>
      </c>
      <c r="U58" s="440" t="s">
        <v>421</v>
      </c>
      <c r="V58" s="443">
        <f t="shared" si="1"/>
        <v>0</v>
      </c>
      <c r="X58" s="593">
        <v>-297870</v>
      </c>
      <c r="Y58" s="593">
        <v>0</v>
      </c>
      <c r="Z58" s="598">
        <v>0</v>
      </c>
      <c r="AA58" s="598">
        <v>0</v>
      </c>
      <c r="AB58" s="598">
        <v>0</v>
      </c>
      <c r="AC58" s="598">
        <v>-331</v>
      </c>
      <c r="AD58" s="444">
        <f t="shared" si="2"/>
        <v>-298201</v>
      </c>
      <c r="AE58" s="207" t="str">
        <f t="shared" si="3"/>
        <v>OK</v>
      </c>
    </row>
    <row r="59" spans="2:31" ht="38.25" customHeight="1" thickBot="1">
      <c r="B59" s="440">
        <v>41</v>
      </c>
      <c r="C59" s="99"/>
      <c r="D59" s="91" t="s">
        <v>147</v>
      </c>
      <c r="E59" s="51" t="s">
        <v>148</v>
      </c>
      <c r="F59" s="38"/>
      <c r="G59" s="131">
        <v>4595845</v>
      </c>
      <c r="H59" s="468">
        <v>2407376</v>
      </c>
      <c r="I59" s="464">
        <v>598517</v>
      </c>
      <c r="J59" s="464">
        <v>1584800</v>
      </c>
      <c r="K59" s="481">
        <v>5152</v>
      </c>
      <c r="L59" s="449">
        <f t="shared" si="0"/>
        <v>0</v>
      </c>
      <c r="M59" s="445">
        <v>-1378753</v>
      </c>
      <c r="N59" s="453">
        <v>-722212</v>
      </c>
      <c r="O59" s="454">
        <v>-179555</v>
      </c>
      <c r="P59" s="454">
        <v>-475400</v>
      </c>
      <c r="Q59" s="455">
        <v>-1586</v>
      </c>
      <c r="R59" s="456"/>
      <c r="S59" s="457"/>
      <c r="T59" s="129" t="s">
        <v>514</v>
      </c>
      <c r="U59" s="440" t="s">
        <v>421</v>
      </c>
      <c r="V59" s="443">
        <f t="shared" si="1"/>
        <v>0</v>
      </c>
      <c r="X59" s="451">
        <v>-179555</v>
      </c>
      <c r="Y59" s="597">
        <v>0</v>
      </c>
      <c r="Z59" s="598">
        <v>0</v>
      </c>
      <c r="AA59" s="598">
        <v>0</v>
      </c>
      <c r="AB59" s="598">
        <v>0</v>
      </c>
      <c r="AC59" s="599">
        <v>0</v>
      </c>
      <c r="AD59" s="444">
        <f t="shared" si="2"/>
        <v>-179555</v>
      </c>
      <c r="AE59" s="207" t="str">
        <f t="shared" si="3"/>
        <v>OK</v>
      </c>
    </row>
    <row r="60" spans="2:31" ht="37.5" customHeight="1">
      <c r="B60" s="440">
        <v>42</v>
      </c>
      <c r="C60" s="99"/>
      <c r="D60" s="90" t="s">
        <v>714</v>
      </c>
      <c r="E60" s="51" t="s">
        <v>715</v>
      </c>
      <c r="F60" s="38"/>
      <c r="G60" s="131">
        <v>36128</v>
      </c>
      <c r="H60" s="535">
        <v>17807</v>
      </c>
      <c r="I60" s="535">
        <v>0</v>
      </c>
      <c r="J60" s="535">
        <v>0</v>
      </c>
      <c r="K60" s="535">
        <v>18321</v>
      </c>
      <c r="L60" s="449">
        <f t="shared" si="0"/>
        <v>0</v>
      </c>
      <c r="M60" s="452">
        <v>-10838</v>
      </c>
      <c r="N60" s="453">
        <v>-5342</v>
      </c>
      <c r="O60" s="454">
        <v>0</v>
      </c>
      <c r="P60" s="454">
        <v>0</v>
      </c>
      <c r="Q60" s="455">
        <v>-5496</v>
      </c>
      <c r="R60" s="456"/>
      <c r="S60" s="457"/>
      <c r="T60" s="129" t="s">
        <v>514</v>
      </c>
      <c r="U60" s="440" t="s">
        <v>421</v>
      </c>
      <c r="V60" s="443">
        <f t="shared" si="1"/>
        <v>0</v>
      </c>
      <c r="X60" s="593">
        <v>0</v>
      </c>
      <c r="Y60" s="593">
        <v>0</v>
      </c>
      <c r="Z60" s="598">
        <v>0</v>
      </c>
      <c r="AA60" s="598">
        <v>0</v>
      </c>
      <c r="AB60" s="598">
        <v>0</v>
      </c>
      <c r="AC60" s="598">
        <v>0</v>
      </c>
      <c r="AD60" s="444">
        <f t="shared" si="2"/>
        <v>0</v>
      </c>
      <c r="AE60" s="207" t="str">
        <f t="shared" si="3"/>
        <v>OK</v>
      </c>
    </row>
    <row r="61" spans="2:31" ht="50.25" customHeight="1">
      <c r="B61" s="440">
        <v>43</v>
      </c>
      <c r="C61" s="99"/>
      <c r="D61" s="91" t="s">
        <v>149</v>
      </c>
      <c r="E61" s="56" t="s">
        <v>150</v>
      </c>
      <c r="F61" s="38" t="s">
        <v>151</v>
      </c>
      <c r="G61" s="131">
        <v>903203</v>
      </c>
      <c r="H61" s="535">
        <v>447052</v>
      </c>
      <c r="I61" s="535">
        <v>89412</v>
      </c>
      <c r="J61" s="535">
        <v>355500</v>
      </c>
      <c r="K61" s="535">
        <v>11239</v>
      </c>
      <c r="L61" s="449">
        <f t="shared" si="0"/>
        <v>0</v>
      </c>
      <c r="M61" s="452">
        <v>-451602</v>
      </c>
      <c r="N61" s="453">
        <v>-223526</v>
      </c>
      <c r="O61" s="454">
        <v>-44706</v>
      </c>
      <c r="P61" s="454">
        <v>-177700</v>
      </c>
      <c r="Q61" s="455">
        <v>-5670</v>
      </c>
      <c r="R61" s="456"/>
      <c r="S61" s="457"/>
      <c r="T61" s="129" t="s">
        <v>78</v>
      </c>
      <c r="U61" s="440" t="s">
        <v>421</v>
      </c>
      <c r="V61" s="443">
        <f t="shared" si="1"/>
        <v>0</v>
      </c>
      <c r="X61" s="451">
        <v>-44706</v>
      </c>
      <c r="Y61" s="593">
        <v>0</v>
      </c>
      <c r="Z61" s="593">
        <v>0</v>
      </c>
      <c r="AA61" s="593">
        <v>0</v>
      </c>
      <c r="AB61" s="593">
        <v>0</v>
      </c>
      <c r="AC61" s="593">
        <v>0</v>
      </c>
      <c r="AD61" s="444">
        <f t="shared" si="2"/>
        <v>-44706</v>
      </c>
      <c r="AE61" s="207" t="str">
        <f t="shared" si="3"/>
        <v>OK</v>
      </c>
    </row>
    <row r="62" spans="2:31" ht="50.25" customHeight="1">
      <c r="B62" s="440">
        <v>44</v>
      </c>
      <c r="C62" s="99"/>
      <c r="D62" s="91"/>
      <c r="E62" s="56"/>
      <c r="F62" s="38" t="s">
        <v>152</v>
      </c>
      <c r="G62" s="131">
        <f>1364820-G61</f>
        <v>461617</v>
      </c>
      <c r="H62" s="535">
        <f>647001-H61</f>
        <v>199949</v>
      </c>
      <c r="I62" s="535">
        <f>89412-I61</f>
        <v>0</v>
      </c>
      <c r="J62" s="535">
        <f>562400-J61</f>
        <v>206900</v>
      </c>
      <c r="K62" s="535">
        <f>66007-K61</f>
        <v>54768</v>
      </c>
      <c r="L62" s="449">
        <f t="shared" si="0"/>
        <v>0</v>
      </c>
      <c r="M62" s="452">
        <v>-138485</v>
      </c>
      <c r="N62" s="453">
        <v>-59984</v>
      </c>
      <c r="O62" s="454">
        <v>0</v>
      </c>
      <c r="P62" s="454">
        <v>-62000</v>
      </c>
      <c r="Q62" s="455">
        <v>-16501</v>
      </c>
      <c r="R62" s="456"/>
      <c r="S62" s="457"/>
      <c r="T62" s="129" t="s">
        <v>516</v>
      </c>
      <c r="U62" s="440" t="s">
        <v>421</v>
      </c>
      <c r="V62" s="443">
        <f t="shared" si="1"/>
        <v>0</v>
      </c>
      <c r="X62" s="451">
        <v>0</v>
      </c>
      <c r="Y62" s="440">
        <v>0</v>
      </c>
      <c r="AA62" s="440">
        <v>0</v>
      </c>
      <c r="AB62" s="440">
        <v>0</v>
      </c>
      <c r="AD62" s="444">
        <f t="shared" si="2"/>
        <v>0</v>
      </c>
      <c r="AE62" s="207" t="str">
        <f t="shared" si="3"/>
        <v>OK</v>
      </c>
    </row>
    <row r="63" spans="2:31" ht="50.25" customHeight="1">
      <c r="B63" s="440">
        <v>45</v>
      </c>
      <c r="C63" s="99"/>
      <c r="D63" s="91" t="s">
        <v>153</v>
      </c>
      <c r="E63" s="56" t="s">
        <v>154</v>
      </c>
      <c r="F63" s="38"/>
      <c r="G63" s="131">
        <v>1409403</v>
      </c>
      <c r="H63" s="535">
        <v>813522</v>
      </c>
      <c r="I63" s="535">
        <v>54142</v>
      </c>
      <c r="J63" s="535">
        <v>526500</v>
      </c>
      <c r="K63" s="535">
        <v>15239</v>
      </c>
      <c r="L63" s="449">
        <f t="shared" si="0"/>
        <v>0</v>
      </c>
      <c r="M63" s="452">
        <v>-422821</v>
      </c>
      <c r="N63" s="453">
        <v>-244057</v>
      </c>
      <c r="O63" s="454">
        <v>-16243</v>
      </c>
      <c r="P63" s="454">
        <v>-157900</v>
      </c>
      <c r="Q63" s="455">
        <v>-4621</v>
      </c>
      <c r="R63" s="456"/>
      <c r="S63" s="457"/>
      <c r="T63" s="129" t="s">
        <v>17</v>
      </c>
      <c r="U63" s="440" t="s">
        <v>421</v>
      </c>
      <c r="V63" s="443">
        <f t="shared" si="1"/>
        <v>0</v>
      </c>
      <c r="X63" s="451">
        <v>-16243</v>
      </c>
      <c r="Y63" s="480">
        <v>0</v>
      </c>
      <c r="Z63" s="480">
        <v>0</v>
      </c>
      <c r="AA63" s="480">
        <v>0</v>
      </c>
      <c r="AB63" s="480">
        <v>0</v>
      </c>
      <c r="AC63" s="480">
        <v>0</v>
      </c>
      <c r="AD63" s="444">
        <f t="shared" si="2"/>
        <v>-16243</v>
      </c>
      <c r="AE63" s="207" t="str">
        <f t="shared" si="3"/>
        <v>OK</v>
      </c>
    </row>
    <row r="64" spans="3:31" ht="50.25" customHeight="1">
      <c r="C64" s="99"/>
      <c r="D64" s="91"/>
      <c r="E64" s="56"/>
      <c r="F64" s="38" t="s">
        <v>403</v>
      </c>
      <c r="G64" s="131">
        <f>SUM(G56:G63)</f>
        <v>15730287</v>
      </c>
      <c r="H64" s="131">
        <f>SUM(H56:H63)</f>
        <v>8321681</v>
      </c>
      <c r="I64" s="131">
        <f>SUM(I56:I63)</f>
        <v>1736074</v>
      </c>
      <c r="J64" s="131">
        <f>SUM(J56:J63)</f>
        <v>5335700</v>
      </c>
      <c r="K64" s="131">
        <f>SUM(K56:K63)</f>
        <v>132972</v>
      </c>
      <c r="L64" s="449">
        <f t="shared" si="0"/>
        <v>203860</v>
      </c>
      <c r="M64" s="452">
        <f>SUM(M56:M63)</f>
        <v>-5022843</v>
      </c>
      <c r="N64" s="453">
        <f>SUM(N56:N63)</f>
        <v>-2585913</v>
      </c>
      <c r="O64" s="454">
        <f>SUM(O56:O63)</f>
        <v>-588128</v>
      </c>
      <c r="P64" s="454">
        <f>SUM(P56:P63)</f>
        <v>-1671600</v>
      </c>
      <c r="Q64" s="455">
        <f>SUM(Q56:Q63)</f>
        <v>-177202</v>
      </c>
      <c r="R64" s="456"/>
      <c r="S64" s="457"/>
      <c r="T64" s="129"/>
      <c r="V64" s="443">
        <f t="shared" si="1"/>
        <v>0</v>
      </c>
      <c r="X64" s="451">
        <f aca="true" t="shared" si="11" ref="X64:AC64">SUM(X56:X63)</f>
        <v>-538374</v>
      </c>
      <c r="Y64" s="451">
        <f t="shared" si="11"/>
        <v>0</v>
      </c>
      <c r="Z64" s="451">
        <f t="shared" si="11"/>
        <v>0</v>
      </c>
      <c r="AA64" s="451">
        <f t="shared" si="11"/>
        <v>0</v>
      </c>
      <c r="AB64" s="451">
        <f t="shared" si="11"/>
        <v>-49423</v>
      </c>
      <c r="AC64" s="451">
        <f t="shared" si="11"/>
        <v>-331</v>
      </c>
      <c r="AD64" s="444">
        <f t="shared" si="2"/>
        <v>-588128</v>
      </c>
      <c r="AE64" s="207" t="str">
        <f t="shared" si="3"/>
        <v>OK</v>
      </c>
    </row>
    <row r="65" spans="2:31" ht="57" customHeight="1">
      <c r="B65" s="440">
        <v>46</v>
      </c>
      <c r="C65" s="89" t="s">
        <v>169</v>
      </c>
      <c r="D65" s="91" t="s">
        <v>170</v>
      </c>
      <c r="E65" s="50" t="s">
        <v>382</v>
      </c>
      <c r="F65" s="51" t="s">
        <v>779</v>
      </c>
      <c r="G65" s="134">
        <v>3094705</v>
      </c>
      <c r="H65" s="134"/>
      <c r="I65" s="134"/>
      <c r="J65" s="134"/>
      <c r="K65" s="134"/>
      <c r="L65" s="449">
        <f t="shared" si="0"/>
        <v>3094705</v>
      </c>
      <c r="M65" s="482">
        <v>-1547000</v>
      </c>
      <c r="N65" s="483"/>
      <c r="O65" s="484"/>
      <c r="P65" s="484"/>
      <c r="Q65" s="485">
        <v>-1547000</v>
      </c>
      <c r="R65" s="486"/>
      <c r="S65" s="487"/>
      <c r="T65" s="145" t="s">
        <v>464</v>
      </c>
      <c r="U65" s="440" t="s">
        <v>421</v>
      </c>
      <c r="V65" s="443">
        <f t="shared" si="1"/>
        <v>0</v>
      </c>
      <c r="Y65" s="480"/>
      <c r="AD65" s="444">
        <f t="shared" si="2"/>
        <v>0</v>
      </c>
      <c r="AE65" s="207" t="str">
        <f t="shared" si="3"/>
        <v>OK</v>
      </c>
    </row>
    <row r="66" spans="2:31" ht="50.25" customHeight="1" thickBot="1">
      <c r="B66" s="440">
        <v>47</v>
      </c>
      <c r="C66" s="89"/>
      <c r="D66" s="91"/>
      <c r="E66" s="51" t="s">
        <v>383</v>
      </c>
      <c r="F66" s="51"/>
      <c r="G66" s="134">
        <v>291348</v>
      </c>
      <c r="H66" s="533"/>
      <c r="I66" s="533">
        <v>4116</v>
      </c>
      <c r="J66" s="533"/>
      <c r="K66" s="533">
        <v>287232</v>
      </c>
      <c r="L66" s="449">
        <f t="shared" si="0"/>
        <v>0</v>
      </c>
      <c r="M66" s="482">
        <v>-116539</v>
      </c>
      <c r="N66" s="483"/>
      <c r="O66" s="484">
        <v>-1646</v>
      </c>
      <c r="P66" s="484"/>
      <c r="Q66" s="487">
        <v>-114893</v>
      </c>
      <c r="R66" s="486"/>
      <c r="S66" s="487"/>
      <c r="T66" s="145" t="s">
        <v>16</v>
      </c>
      <c r="U66" s="440" t="s">
        <v>421</v>
      </c>
      <c r="V66" s="443">
        <f t="shared" si="1"/>
        <v>0</v>
      </c>
      <c r="X66" s="440">
        <v>0</v>
      </c>
      <c r="Y66" s="451">
        <v>-326</v>
      </c>
      <c r="Z66" s="440">
        <v>0</v>
      </c>
      <c r="AA66" s="440">
        <v>0</v>
      </c>
      <c r="AB66" s="440">
        <v>0</v>
      </c>
      <c r="AC66" s="451">
        <v>-1320</v>
      </c>
      <c r="AD66" s="444">
        <f t="shared" si="2"/>
        <v>-1646</v>
      </c>
      <c r="AE66" s="207" t="str">
        <f t="shared" si="3"/>
        <v>OK</v>
      </c>
    </row>
    <row r="67" spans="2:31" ht="37.5" customHeight="1" thickBot="1">
      <c r="B67" s="440">
        <v>48</v>
      </c>
      <c r="C67" s="108"/>
      <c r="D67" s="96" t="s">
        <v>31</v>
      </c>
      <c r="E67" s="57" t="s">
        <v>32</v>
      </c>
      <c r="F67" s="57" t="s">
        <v>743</v>
      </c>
      <c r="G67" s="103">
        <v>3571777</v>
      </c>
      <c r="H67" s="103"/>
      <c r="I67" s="103"/>
      <c r="J67" s="103"/>
      <c r="K67" s="103"/>
      <c r="L67" s="449">
        <f t="shared" si="0"/>
        <v>3571777</v>
      </c>
      <c r="M67" s="467">
        <v>-3571777</v>
      </c>
      <c r="N67" s="476"/>
      <c r="O67" s="464"/>
      <c r="P67" s="464"/>
      <c r="Q67" s="465">
        <v>-3571777</v>
      </c>
      <c r="R67" s="466"/>
      <c r="S67" s="465"/>
      <c r="T67" s="144" t="s">
        <v>745</v>
      </c>
      <c r="U67" s="440" t="s">
        <v>752</v>
      </c>
      <c r="V67" s="443">
        <f t="shared" si="1"/>
        <v>0</v>
      </c>
      <c r="X67" s="594"/>
      <c r="Y67" s="594"/>
      <c r="Z67" s="594"/>
      <c r="AA67" s="594"/>
      <c r="AB67" s="594"/>
      <c r="AC67" s="594"/>
      <c r="AD67" s="444">
        <f t="shared" si="2"/>
        <v>0</v>
      </c>
      <c r="AE67" s="207" t="str">
        <f t="shared" si="3"/>
        <v>OK</v>
      </c>
    </row>
    <row r="68" spans="2:31" ht="72.75" customHeight="1">
      <c r="B68" s="440">
        <v>49</v>
      </c>
      <c r="C68" s="312"/>
      <c r="D68" s="98"/>
      <c r="E68" s="38"/>
      <c r="F68" s="38" t="s">
        <v>744</v>
      </c>
      <c r="G68" s="131">
        <v>55621</v>
      </c>
      <c r="H68" s="131"/>
      <c r="I68" s="131"/>
      <c r="J68" s="131"/>
      <c r="K68" s="131"/>
      <c r="L68" s="449">
        <f t="shared" si="0"/>
        <v>55621</v>
      </c>
      <c r="M68" s="452">
        <v>-55621</v>
      </c>
      <c r="N68" s="453"/>
      <c r="O68" s="454"/>
      <c r="P68" s="454"/>
      <c r="Q68" s="455">
        <v>-55621</v>
      </c>
      <c r="R68" s="456"/>
      <c r="S68" s="457"/>
      <c r="T68" s="129"/>
      <c r="U68" s="440" t="s">
        <v>421</v>
      </c>
      <c r="V68" s="443">
        <f t="shared" si="1"/>
        <v>0</v>
      </c>
      <c r="AB68" s="478"/>
      <c r="AD68" s="444">
        <f t="shared" si="2"/>
        <v>0</v>
      </c>
      <c r="AE68" s="207" t="str">
        <f t="shared" si="3"/>
        <v>OK</v>
      </c>
    </row>
    <row r="69" spans="2:31" ht="63" customHeight="1">
      <c r="B69" s="440">
        <v>50</v>
      </c>
      <c r="C69" s="99"/>
      <c r="D69" s="90"/>
      <c r="E69" s="38"/>
      <c r="F69" s="38" t="s">
        <v>195</v>
      </c>
      <c r="G69" s="131">
        <v>4073</v>
      </c>
      <c r="H69" s="131"/>
      <c r="I69" s="131"/>
      <c r="J69" s="131"/>
      <c r="K69" s="131"/>
      <c r="L69" s="449">
        <f t="shared" si="0"/>
        <v>4073</v>
      </c>
      <c r="M69" s="445">
        <v>-4073</v>
      </c>
      <c r="N69" s="446"/>
      <c r="O69" s="447"/>
      <c r="P69" s="447"/>
      <c r="Q69" s="450">
        <v>-4073</v>
      </c>
      <c r="R69" s="456"/>
      <c r="S69" s="457"/>
      <c r="T69" s="129"/>
      <c r="U69" s="440" t="s">
        <v>421</v>
      </c>
      <c r="V69" s="443">
        <f t="shared" si="1"/>
        <v>0</v>
      </c>
      <c r="AD69" s="444">
        <f t="shared" si="2"/>
        <v>0</v>
      </c>
      <c r="AE69" s="207" t="str">
        <f t="shared" si="3"/>
        <v>OK</v>
      </c>
    </row>
    <row r="70" spans="2:31" ht="50.25" customHeight="1">
      <c r="B70" s="440">
        <v>51</v>
      </c>
      <c r="C70" s="99"/>
      <c r="D70" s="148"/>
      <c r="E70" s="38"/>
      <c r="F70" s="38" t="s">
        <v>690</v>
      </c>
      <c r="G70" s="131">
        <v>1121</v>
      </c>
      <c r="H70" s="131"/>
      <c r="I70" s="131"/>
      <c r="J70" s="131"/>
      <c r="K70" s="131"/>
      <c r="L70" s="449">
        <f t="shared" si="0"/>
        <v>1121</v>
      </c>
      <c r="M70" s="452">
        <v>-1121</v>
      </c>
      <c r="N70" s="453"/>
      <c r="O70" s="454"/>
      <c r="P70" s="454"/>
      <c r="Q70" s="455">
        <v>-1121</v>
      </c>
      <c r="R70" s="456"/>
      <c r="S70" s="457"/>
      <c r="T70" s="129"/>
      <c r="U70" s="440" t="s">
        <v>421</v>
      </c>
      <c r="V70" s="443">
        <f t="shared" si="1"/>
        <v>0</v>
      </c>
      <c r="AD70" s="444">
        <f t="shared" si="2"/>
        <v>0</v>
      </c>
      <c r="AE70" s="207" t="str">
        <f t="shared" si="3"/>
        <v>OK</v>
      </c>
    </row>
    <row r="71" spans="2:31" ht="50.25" customHeight="1">
      <c r="B71" s="440">
        <v>52</v>
      </c>
      <c r="C71" s="99"/>
      <c r="D71" s="91"/>
      <c r="E71" s="51"/>
      <c r="F71" s="38" t="s">
        <v>691</v>
      </c>
      <c r="G71" s="131">
        <v>1013</v>
      </c>
      <c r="H71" s="131"/>
      <c r="I71" s="131"/>
      <c r="J71" s="131"/>
      <c r="K71" s="131"/>
      <c r="L71" s="449">
        <f t="shared" si="0"/>
        <v>1013</v>
      </c>
      <c r="M71" s="452">
        <v>-1013</v>
      </c>
      <c r="N71" s="453"/>
      <c r="O71" s="454"/>
      <c r="P71" s="454"/>
      <c r="Q71" s="455">
        <v>-1013</v>
      </c>
      <c r="R71" s="456"/>
      <c r="S71" s="457"/>
      <c r="T71" s="129"/>
      <c r="U71" s="440" t="s">
        <v>421</v>
      </c>
      <c r="V71" s="443">
        <f aca="true" t="shared" si="12" ref="V71:V89">M71-N71-O71-P71-Q71</f>
        <v>0</v>
      </c>
      <c r="AC71" s="478"/>
      <c r="AD71" s="444">
        <f aca="true" t="shared" si="13" ref="AD71:AD89">SUM(X71:AC71)</f>
        <v>0</v>
      </c>
      <c r="AE71" s="207" t="str">
        <f aca="true" t="shared" si="14" ref="AE71:AE89">IF(O71=AD71,"OK","OUT")</f>
        <v>OK</v>
      </c>
    </row>
    <row r="72" spans="2:31" ht="50.25" customHeight="1">
      <c r="B72" s="440">
        <v>53</v>
      </c>
      <c r="C72" s="99"/>
      <c r="D72" s="91"/>
      <c r="E72" s="56"/>
      <c r="F72" s="38" t="s">
        <v>839</v>
      </c>
      <c r="G72" s="131">
        <v>440</v>
      </c>
      <c r="H72" s="131"/>
      <c r="I72" s="131"/>
      <c r="J72" s="131"/>
      <c r="K72" s="131"/>
      <c r="L72" s="449">
        <f t="shared" si="0"/>
        <v>440</v>
      </c>
      <c r="M72" s="452">
        <v>-440</v>
      </c>
      <c r="N72" s="453"/>
      <c r="O72" s="454"/>
      <c r="P72" s="454"/>
      <c r="Q72" s="455">
        <v>-440</v>
      </c>
      <c r="R72" s="456"/>
      <c r="S72" s="457"/>
      <c r="T72" s="129"/>
      <c r="U72" s="440" t="s">
        <v>421</v>
      </c>
      <c r="V72" s="443">
        <f t="shared" si="12"/>
        <v>0</v>
      </c>
      <c r="AD72" s="444">
        <f t="shared" si="13"/>
        <v>0</v>
      </c>
      <c r="AE72" s="207" t="str">
        <f t="shared" si="14"/>
        <v>OK</v>
      </c>
    </row>
    <row r="73" spans="2:31" ht="50.25" customHeight="1">
      <c r="B73" s="440">
        <v>54</v>
      </c>
      <c r="C73" s="99"/>
      <c r="D73" s="91"/>
      <c r="E73" s="51" t="s">
        <v>39</v>
      </c>
      <c r="F73" s="38" t="s">
        <v>33</v>
      </c>
      <c r="G73" s="131">
        <v>63340</v>
      </c>
      <c r="H73" s="320"/>
      <c r="I73" s="187"/>
      <c r="J73" s="187"/>
      <c r="K73" s="189"/>
      <c r="L73" s="449">
        <f t="shared" si="0"/>
        <v>63340</v>
      </c>
      <c r="M73" s="445">
        <v>-32000</v>
      </c>
      <c r="N73" s="453"/>
      <c r="O73" s="454"/>
      <c r="P73" s="454"/>
      <c r="Q73" s="455">
        <v>-32000</v>
      </c>
      <c r="R73" s="456"/>
      <c r="S73" s="457"/>
      <c r="T73" s="129" t="s">
        <v>34</v>
      </c>
      <c r="U73" s="440" t="s">
        <v>421</v>
      </c>
      <c r="V73" s="443">
        <f t="shared" si="12"/>
        <v>0</v>
      </c>
      <c r="AD73" s="444">
        <f t="shared" si="13"/>
        <v>0</v>
      </c>
      <c r="AE73" s="207" t="str">
        <f t="shared" si="14"/>
        <v>OK</v>
      </c>
    </row>
    <row r="74" spans="3:31" ht="50.25" customHeight="1">
      <c r="C74" s="99"/>
      <c r="D74" s="91"/>
      <c r="E74" s="38"/>
      <c r="F74" s="38" t="s">
        <v>403</v>
      </c>
      <c r="G74" s="131">
        <f>SUM(G65:G73)</f>
        <v>7083438</v>
      </c>
      <c r="H74" s="107"/>
      <c r="I74" s="107"/>
      <c r="J74" s="107"/>
      <c r="K74" s="107"/>
      <c r="L74" s="449">
        <f t="shared" si="0"/>
        <v>7083438</v>
      </c>
      <c r="M74" s="452">
        <f>SUM(M65:M73)</f>
        <v>-5329584</v>
      </c>
      <c r="N74" s="453">
        <f>SUM(N65:N73)</f>
        <v>0</v>
      </c>
      <c r="O74" s="454">
        <f>SUM(O65:O73)</f>
        <v>-1646</v>
      </c>
      <c r="P74" s="454">
        <f>SUM(P65:P73)</f>
        <v>0</v>
      </c>
      <c r="Q74" s="455">
        <f>SUM(Q65:Q73)</f>
        <v>-5327938</v>
      </c>
      <c r="R74" s="456"/>
      <c r="S74" s="457"/>
      <c r="T74" s="129"/>
      <c r="V74" s="443">
        <f t="shared" si="12"/>
        <v>0</v>
      </c>
      <c r="X74" s="451">
        <f aca="true" t="shared" si="15" ref="X74:AC74">SUM(X65:X73)</f>
        <v>0</v>
      </c>
      <c r="Y74" s="451">
        <f t="shared" si="15"/>
        <v>-326</v>
      </c>
      <c r="Z74" s="451">
        <f t="shared" si="15"/>
        <v>0</v>
      </c>
      <c r="AA74" s="451">
        <f t="shared" si="15"/>
        <v>0</v>
      </c>
      <c r="AB74" s="451">
        <f t="shared" si="15"/>
        <v>0</v>
      </c>
      <c r="AC74" s="451">
        <f t="shared" si="15"/>
        <v>-1320</v>
      </c>
      <c r="AD74" s="444">
        <f t="shared" si="13"/>
        <v>-1646</v>
      </c>
      <c r="AE74" s="207" t="str">
        <f t="shared" si="14"/>
        <v>OK</v>
      </c>
    </row>
    <row r="75" spans="2:31" ht="50.25" customHeight="1">
      <c r="B75" s="440">
        <v>55</v>
      </c>
      <c r="C75" s="89" t="s">
        <v>285</v>
      </c>
      <c r="D75" s="92" t="s">
        <v>392</v>
      </c>
      <c r="E75" s="38" t="s">
        <v>444</v>
      </c>
      <c r="F75" s="38"/>
      <c r="G75" s="131">
        <v>2981314</v>
      </c>
      <c r="H75" s="320"/>
      <c r="I75" s="187"/>
      <c r="J75" s="187"/>
      <c r="K75" s="189"/>
      <c r="L75" s="449">
        <f t="shared" si="0"/>
        <v>2981314</v>
      </c>
      <c r="M75" s="445">
        <v>-1490657</v>
      </c>
      <c r="N75" s="446"/>
      <c r="O75" s="454"/>
      <c r="P75" s="454"/>
      <c r="Q75" s="455">
        <v>-1490657</v>
      </c>
      <c r="R75" s="456"/>
      <c r="S75" s="457"/>
      <c r="T75" s="129" t="s">
        <v>291</v>
      </c>
      <c r="U75" s="440" t="s">
        <v>421</v>
      </c>
      <c r="V75" s="443">
        <f t="shared" si="12"/>
        <v>0</v>
      </c>
      <c r="X75" s="478"/>
      <c r="Y75" s="478"/>
      <c r="Z75" s="478"/>
      <c r="AA75" s="478"/>
      <c r="AB75" s="454"/>
      <c r="AC75" s="478"/>
      <c r="AD75" s="444">
        <f t="shared" si="13"/>
        <v>0</v>
      </c>
      <c r="AE75" s="207" t="str">
        <f t="shared" si="14"/>
        <v>OK</v>
      </c>
    </row>
    <row r="76" spans="2:31" ht="77.25" customHeight="1">
      <c r="B76" s="440">
        <v>56</v>
      </c>
      <c r="C76" s="89"/>
      <c r="D76" s="90" t="s">
        <v>782</v>
      </c>
      <c r="E76" s="38" t="s">
        <v>712</v>
      </c>
      <c r="F76" s="38"/>
      <c r="G76" s="131">
        <v>281532</v>
      </c>
      <c r="H76" s="320"/>
      <c r="I76" s="187">
        <v>24527</v>
      </c>
      <c r="J76" s="187"/>
      <c r="K76" s="189">
        <v>257005</v>
      </c>
      <c r="L76" s="449">
        <f t="shared" si="0"/>
        <v>0</v>
      </c>
      <c r="M76" s="445">
        <v>-98500</v>
      </c>
      <c r="N76" s="446">
        <f>-H76*0.35</f>
        <v>0</v>
      </c>
      <c r="O76" s="454">
        <v>-8581</v>
      </c>
      <c r="P76" s="454">
        <f>-J76*0.35</f>
        <v>0</v>
      </c>
      <c r="Q76" s="455">
        <v>-89919</v>
      </c>
      <c r="R76" s="456"/>
      <c r="S76" s="457"/>
      <c r="T76" s="129" t="s">
        <v>292</v>
      </c>
      <c r="U76" s="440" t="s">
        <v>421</v>
      </c>
      <c r="V76" s="443">
        <f t="shared" si="12"/>
        <v>0</v>
      </c>
      <c r="X76" s="478">
        <v>-5433</v>
      </c>
      <c r="Y76" s="478">
        <v>-2800</v>
      </c>
      <c r="Z76" s="478"/>
      <c r="AA76" s="478"/>
      <c r="AB76" s="478"/>
      <c r="AC76" s="478">
        <v>-348</v>
      </c>
      <c r="AD76" s="444">
        <f t="shared" si="13"/>
        <v>-8581</v>
      </c>
      <c r="AE76" s="207" t="str">
        <f t="shared" si="14"/>
        <v>OK</v>
      </c>
    </row>
    <row r="77" spans="2:31" ht="60.75" customHeight="1">
      <c r="B77" s="440">
        <v>57</v>
      </c>
      <c r="C77" s="99"/>
      <c r="D77" s="498"/>
      <c r="E77" s="38" t="s">
        <v>73</v>
      </c>
      <c r="F77" s="38" t="s">
        <v>76</v>
      </c>
      <c r="G77" s="131">
        <v>3827390</v>
      </c>
      <c r="H77" s="320"/>
      <c r="I77" s="187"/>
      <c r="J77" s="187"/>
      <c r="K77" s="189"/>
      <c r="L77" s="449">
        <f t="shared" si="0"/>
        <v>3827390</v>
      </c>
      <c r="M77" s="445">
        <v>-3827390</v>
      </c>
      <c r="N77" s="446"/>
      <c r="O77" s="454"/>
      <c r="P77" s="454">
        <v>-3826600</v>
      </c>
      <c r="Q77" s="455">
        <v>-790</v>
      </c>
      <c r="R77" s="456"/>
      <c r="S77" s="457"/>
      <c r="T77" s="129" t="s">
        <v>74</v>
      </c>
      <c r="U77" s="440" t="s">
        <v>421</v>
      </c>
      <c r="V77" s="443">
        <f t="shared" si="12"/>
        <v>0</v>
      </c>
      <c r="X77" s="478"/>
      <c r="Y77" s="478"/>
      <c r="Z77" s="478"/>
      <c r="AA77" s="478"/>
      <c r="AB77" s="478"/>
      <c r="AC77" s="478"/>
      <c r="AD77" s="444">
        <f t="shared" si="13"/>
        <v>0</v>
      </c>
      <c r="AE77" s="207" t="str">
        <f t="shared" si="14"/>
        <v>OK</v>
      </c>
    </row>
    <row r="78" spans="2:31" ht="50.25" customHeight="1">
      <c r="B78" s="440">
        <v>58</v>
      </c>
      <c r="C78" s="99"/>
      <c r="D78" s="91"/>
      <c r="E78" s="38" t="s">
        <v>372</v>
      </c>
      <c r="F78" s="38" t="s">
        <v>520</v>
      </c>
      <c r="G78" s="131">
        <v>382000</v>
      </c>
      <c r="H78" s="320"/>
      <c r="I78" s="187"/>
      <c r="J78" s="187"/>
      <c r="K78" s="189"/>
      <c r="L78" s="449">
        <f t="shared" si="0"/>
        <v>382000</v>
      </c>
      <c r="M78" s="446">
        <v>-382000</v>
      </c>
      <c r="N78" s="446"/>
      <c r="O78" s="454">
        <v>-382000</v>
      </c>
      <c r="P78" s="454"/>
      <c r="Q78" s="455"/>
      <c r="R78" s="456"/>
      <c r="S78" s="457"/>
      <c r="T78" s="129" t="s">
        <v>36</v>
      </c>
      <c r="U78" s="440" t="s">
        <v>421</v>
      </c>
      <c r="V78" s="443">
        <f t="shared" si="12"/>
        <v>0</v>
      </c>
      <c r="X78" s="478"/>
      <c r="Y78" s="478"/>
      <c r="Z78" s="478"/>
      <c r="AA78" s="478"/>
      <c r="AB78" s="478"/>
      <c r="AC78" s="454">
        <v>-382000</v>
      </c>
      <c r="AD78" s="444">
        <f t="shared" si="13"/>
        <v>-382000</v>
      </c>
      <c r="AE78" s="207" t="str">
        <f t="shared" si="14"/>
        <v>OK</v>
      </c>
    </row>
    <row r="79" spans="2:31" ht="57.75" customHeight="1">
      <c r="B79" s="440">
        <v>59</v>
      </c>
      <c r="C79" s="99"/>
      <c r="D79" s="92"/>
      <c r="E79" s="38"/>
      <c r="F79" s="38" t="s">
        <v>372</v>
      </c>
      <c r="G79" s="131">
        <v>780</v>
      </c>
      <c r="H79" s="107"/>
      <c r="I79" s="107"/>
      <c r="J79" s="107"/>
      <c r="K79" s="107"/>
      <c r="L79" s="449">
        <f t="shared" si="0"/>
        <v>780</v>
      </c>
      <c r="M79" s="452">
        <v>-780</v>
      </c>
      <c r="N79" s="453"/>
      <c r="O79" s="454"/>
      <c r="P79" s="454"/>
      <c r="Q79" s="455">
        <v>-780</v>
      </c>
      <c r="R79" s="456"/>
      <c r="S79" s="457"/>
      <c r="T79" s="129"/>
      <c r="U79" s="440" t="s">
        <v>421</v>
      </c>
      <c r="V79" s="443">
        <f t="shared" si="12"/>
        <v>0</v>
      </c>
      <c r="X79" s="478"/>
      <c r="Y79" s="478"/>
      <c r="Z79" s="478"/>
      <c r="AA79" s="478"/>
      <c r="AB79" s="478"/>
      <c r="AC79" s="478"/>
      <c r="AD79" s="444">
        <f t="shared" si="13"/>
        <v>0</v>
      </c>
      <c r="AE79" s="207" t="str">
        <f t="shared" si="14"/>
        <v>OK</v>
      </c>
    </row>
    <row r="80" spans="2:31" ht="57.75" customHeight="1">
      <c r="B80" s="440">
        <v>60</v>
      </c>
      <c r="C80" s="99"/>
      <c r="D80" s="90"/>
      <c r="E80" s="38" t="s">
        <v>202</v>
      </c>
      <c r="F80" s="38" t="s">
        <v>417</v>
      </c>
      <c r="G80" s="131">
        <v>189000</v>
      </c>
      <c r="H80" s="451"/>
      <c r="I80" s="451"/>
      <c r="J80" s="451"/>
      <c r="K80" s="493"/>
      <c r="L80" s="449">
        <f t="shared" si="0"/>
        <v>189000</v>
      </c>
      <c r="M80" s="445">
        <v>-189000</v>
      </c>
      <c r="N80" s="453"/>
      <c r="O80" s="454"/>
      <c r="P80" s="454"/>
      <c r="Q80" s="455">
        <v>-189000</v>
      </c>
      <c r="R80" s="456"/>
      <c r="S80" s="457"/>
      <c r="T80" s="129" t="s">
        <v>757</v>
      </c>
      <c r="U80" s="440" t="s">
        <v>421</v>
      </c>
      <c r="V80" s="443">
        <f t="shared" si="12"/>
        <v>0</v>
      </c>
      <c r="X80" s="478"/>
      <c r="Y80" s="478"/>
      <c r="Z80" s="478"/>
      <c r="AA80" s="478"/>
      <c r="AB80" s="478"/>
      <c r="AC80" s="478"/>
      <c r="AD80" s="444">
        <f t="shared" si="13"/>
        <v>0</v>
      </c>
      <c r="AE80" s="207" t="str">
        <f t="shared" si="14"/>
        <v>OK</v>
      </c>
    </row>
    <row r="81" spans="2:31" ht="50.25" customHeight="1">
      <c r="B81" s="440">
        <v>61</v>
      </c>
      <c r="C81" s="99"/>
      <c r="D81" s="92"/>
      <c r="E81" s="38" t="s">
        <v>783</v>
      </c>
      <c r="F81" s="38"/>
      <c r="G81" s="131">
        <v>30000</v>
      </c>
      <c r="H81" s="536"/>
      <c r="I81" s="478"/>
      <c r="J81" s="478"/>
      <c r="K81" s="547"/>
      <c r="L81" s="449">
        <f t="shared" si="0"/>
        <v>30000</v>
      </c>
      <c r="M81" s="445">
        <v>-30000</v>
      </c>
      <c r="N81" s="446"/>
      <c r="O81" s="454"/>
      <c r="P81" s="454"/>
      <c r="Q81" s="455">
        <v>-30000</v>
      </c>
      <c r="R81" s="456"/>
      <c r="S81" s="457"/>
      <c r="T81" s="129" t="s">
        <v>521</v>
      </c>
      <c r="U81" s="440" t="s">
        <v>421</v>
      </c>
      <c r="V81" s="443">
        <f t="shared" si="12"/>
        <v>0</v>
      </c>
      <c r="X81" s="478"/>
      <c r="Y81" s="478"/>
      <c r="Z81" s="478"/>
      <c r="AA81" s="478"/>
      <c r="AB81" s="478"/>
      <c r="AC81" s="478"/>
      <c r="AD81" s="444">
        <f t="shared" si="13"/>
        <v>0</v>
      </c>
      <c r="AE81" s="207" t="str">
        <f t="shared" si="14"/>
        <v>OK</v>
      </c>
    </row>
    <row r="82" spans="2:31" ht="50.25" customHeight="1">
      <c r="B82" s="440">
        <v>62</v>
      </c>
      <c r="C82" s="99"/>
      <c r="D82" s="91"/>
      <c r="E82" s="38" t="s">
        <v>204</v>
      </c>
      <c r="F82" s="38" t="s">
        <v>205</v>
      </c>
      <c r="G82" s="131">
        <v>4801495</v>
      </c>
      <c r="H82" s="453">
        <v>890766</v>
      </c>
      <c r="I82" s="454">
        <v>6711</v>
      </c>
      <c r="J82" s="454">
        <v>3887200</v>
      </c>
      <c r="K82" s="488">
        <v>16818</v>
      </c>
      <c r="L82" s="449">
        <f t="shared" si="0"/>
        <v>0</v>
      </c>
      <c r="M82" s="445">
        <v>-2400000</v>
      </c>
      <c r="N82" s="453">
        <v>-445244</v>
      </c>
      <c r="O82" s="454">
        <v>-3355</v>
      </c>
      <c r="P82" s="454">
        <v>-1943000</v>
      </c>
      <c r="Q82" s="455">
        <v>-8401</v>
      </c>
      <c r="R82" s="456"/>
      <c r="S82" s="457"/>
      <c r="T82" s="129" t="s">
        <v>291</v>
      </c>
      <c r="U82" s="440" t="s">
        <v>421</v>
      </c>
      <c r="V82" s="443">
        <f t="shared" si="12"/>
        <v>0</v>
      </c>
      <c r="X82" s="454">
        <v>-3355</v>
      </c>
      <c r="Y82" s="477">
        <v>0</v>
      </c>
      <c r="Z82" s="477">
        <v>0</v>
      </c>
      <c r="AA82" s="477">
        <v>0</v>
      </c>
      <c r="AB82" s="477">
        <v>0</v>
      </c>
      <c r="AC82" s="477">
        <v>0</v>
      </c>
      <c r="AD82" s="444">
        <f t="shared" si="13"/>
        <v>-3355</v>
      </c>
      <c r="AE82" s="207" t="str">
        <f t="shared" si="14"/>
        <v>OK</v>
      </c>
    </row>
    <row r="83" spans="2:31" ht="50.25" customHeight="1">
      <c r="B83" s="440">
        <v>63</v>
      </c>
      <c r="C83" s="99"/>
      <c r="D83" s="91" t="s">
        <v>206</v>
      </c>
      <c r="E83" s="38" t="s">
        <v>207</v>
      </c>
      <c r="F83" s="38" t="s">
        <v>208</v>
      </c>
      <c r="G83" s="131">
        <v>10212138</v>
      </c>
      <c r="H83" s="453">
        <v>5657152</v>
      </c>
      <c r="I83" s="454">
        <v>276509</v>
      </c>
      <c r="J83" s="454">
        <v>4277800</v>
      </c>
      <c r="K83" s="488">
        <v>677</v>
      </c>
      <c r="L83" s="449">
        <f t="shared" si="0"/>
        <v>0</v>
      </c>
      <c r="M83" s="445">
        <v>-5106000</v>
      </c>
      <c r="N83" s="446">
        <v>-2828538</v>
      </c>
      <c r="O83" s="454">
        <v>-138253</v>
      </c>
      <c r="P83" s="454">
        <v>-2138900</v>
      </c>
      <c r="Q83" s="455">
        <v>-309</v>
      </c>
      <c r="R83" s="456"/>
      <c r="S83" s="457"/>
      <c r="T83" s="129" t="s">
        <v>840</v>
      </c>
      <c r="U83" s="440" t="s">
        <v>421</v>
      </c>
      <c r="V83" s="443">
        <f t="shared" si="12"/>
        <v>0</v>
      </c>
      <c r="X83" s="454">
        <v>-138253</v>
      </c>
      <c r="Y83" s="477">
        <v>0</v>
      </c>
      <c r="Z83" s="477">
        <v>0</v>
      </c>
      <c r="AA83" s="477">
        <v>0</v>
      </c>
      <c r="AB83" s="477">
        <v>0</v>
      </c>
      <c r="AC83" s="477">
        <v>0</v>
      </c>
      <c r="AD83" s="444">
        <f t="shared" si="13"/>
        <v>-138253</v>
      </c>
      <c r="AE83" s="207" t="str">
        <f t="shared" si="14"/>
        <v>OK</v>
      </c>
    </row>
    <row r="84" spans="2:31" ht="60.75" customHeight="1">
      <c r="B84" s="440">
        <v>64</v>
      </c>
      <c r="C84" s="99"/>
      <c r="D84" s="92"/>
      <c r="E84" s="38" t="s">
        <v>841</v>
      </c>
      <c r="F84" s="38" t="s">
        <v>842</v>
      </c>
      <c r="G84" s="131">
        <v>16706039</v>
      </c>
      <c r="H84" s="451">
        <v>8679535</v>
      </c>
      <c r="I84" s="451">
        <v>1907</v>
      </c>
      <c r="J84" s="451">
        <v>8023400</v>
      </c>
      <c r="K84" s="493">
        <v>1197</v>
      </c>
      <c r="L84" s="449">
        <f t="shared" si="0"/>
        <v>0</v>
      </c>
      <c r="M84" s="452">
        <v>-8353000</v>
      </c>
      <c r="N84" s="453">
        <v>-4339757</v>
      </c>
      <c r="O84" s="454">
        <v>-953</v>
      </c>
      <c r="P84" s="454">
        <v>-4011700</v>
      </c>
      <c r="Q84" s="455">
        <v>-590</v>
      </c>
      <c r="R84" s="456"/>
      <c r="S84" s="457"/>
      <c r="T84" s="129" t="s">
        <v>291</v>
      </c>
      <c r="U84" s="440" t="s">
        <v>421</v>
      </c>
      <c r="V84" s="443">
        <f t="shared" si="12"/>
        <v>0</v>
      </c>
      <c r="X84" s="454">
        <v>-953</v>
      </c>
      <c r="Y84" s="477">
        <v>0</v>
      </c>
      <c r="Z84" s="477">
        <v>0</v>
      </c>
      <c r="AA84" s="477">
        <v>0</v>
      </c>
      <c r="AB84" s="477">
        <v>0</v>
      </c>
      <c r="AC84" s="477">
        <v>0</v>
      </c>
      <c r="AD84" s="444">
        <f t="shared" si="13"/>
        <v>-953</v>
      </c>
      <c r="AE84" s="207" t="str">
        <f t="shared" si="14"/>
        <v>OK</v>
      </c>
    </row>
    <row r="85" spans="2:31" ht="70.5" customHeight="1">
      <c r="B85" s="440">
        <v>65</v>
      </c>
      <c r="C85" s="99"/>
      <c r="D85" s="90"/>
      <c r="E85" s="38" t="s">
        <v>409</v>
      </c>
      <c r="F85" s="38" t="s">
        <v>410</v>
      </c>
      <c r="G85" s="131">
        <v>8480808</v>
      </c>
      <c r="H85" s="453">
        <v>0</v>
      </c>
      <c r="I85" s="454">
        <v>470</v>
      </c>
      <c r="J85" s="454">
        <v>8471800</v>
      </c>
      <c r="K85" s="488">
        <v>8538</v>
      </c>
      <c r="L85" s="449">
        <f t="shared" si="0"/>
        <v>0</v>
      </c>
      <c r="M85" s="445">
        <v>-2968000</v>
      </c>
      <c r="N85" s="446">
        <v>0</v>
      </c>
      <c r="O85" s="454">
        <v>-164</v>
      </c>
      <c r="P85" s="454">
        <v>-2964900</v>
      </c>
      <c r="Q85" s="455">
        <v>-2936</v>
      </c>
      <c r="R85" s="456"/>
      <c r="S85" s="457"/>
      <c r="T85" s="129" t="s">
        <v>292</v>
      </c>
      <c r="U85" s="440" t="s">
        <v>421</v>
      </c>
      <c r="V85" s="443">
        <f t="shared" si="12"/>
        <v>0</v>
      </c>
      <c r="X85" s="454">
        <v>-164</v>
      </c>
      <c r="Y85" s="477">
        <v>0</v>
      </c>
      <c r="Z85" s="477">
        <v>0</v>
      </c>
      <c r="AA85" s="477">
        <v>0</v>
      </c>
      <c r="AB85" s="477">
        <v>0</v>
      </c>
      <c r="AC85" s="477">
        <v>0</v>
      </c>
      <c r="AD85" s="444">
        <f t="shared" si="13"/>
        <v>-164</v>
      </c>
      <c r="AE85" s="207" t="str">
        <f t="shared" si="14"/>
        <v>OK</v>
      </c>
    </row>
    <row r="86" spans="2:31" ht="50.25" customHeight="1">
      <c r="B86" s="440">
        <v>67</v>
      </c>
      <c r="C86" s="99"/>
      <c r="D86" s="92" t="s">
        <v>526</v>
      </c>
      <c r="E86" s="38" t="s">
        <v>526</v>
      </c>
      <c r="F86" s="38" t="s">
        <v>844</v>
      </c>
      <c r="G86" s="131">
        <v>2980</v>
      </c>
      <c r="L86" s="449">
        <f t="shared" si="0"/>
        <v>2980</v>
      </c>
      <c r="M86" s="452">
        <v>-2980</v>
      </c>
      <c r="N86" s="453"/>
      <c r="O86" s="454"/>
      <c r="P86" s="454"/>
      <c r="Q86" s="455">
        <v>-2980</v>
      </c>
      <c r="R86" s="456"/>
      <c r="S86" s="457"/>
      <c r="T86" s="129" t="s">
        <v>845</v>
      </c>
      <c r="U86" s="440" t="s">
        <v>421</v>
      </c>
      <c r="V86" s="443">
        <f t="shared" si="12"/>
        <v>0</v>
      </c>
      <c r="X86" s="477"/>
      <c r="Y86" s="477"/>
      <c r="Z86" s="477"/>
      <c r="AA86" s="477"/>
      <c r="AB86" s="477"/>
      <c r="AC86" s="477"/>
      <c r="AD86" s="444">
        <f t="shared" si="13"/>
        <v>0</v>
      </c>
      <c r="AE86" s="207" t="str">
        <f t="shared" si="14"/>
        <v>OK</v>
      </c>
    </row>
    <row r="87" spans="2:31" ht="63" customHeight="1">
      <c r="B87" s="440">
        <v>68</v>
      </c>
      <c r="C87" s="99"/>
      <c r="D87" s="90"/>
      <c r="E87" s="38" t="s">
        <v>785</v>
      </c>
      <c r="F87" s="38"/>
      <c r="G87" s="131">
        <v>344865</v>
      </c>
      <c r="H87" s="453">
        <v>0</v>
      </c>
      <c r="I87" s="454">
        <v>87131</v>
      </c>
      <c r="J87" s="454">
        <v>0</v>
      </c>
      <c r="K87" s="488">
        <v>257734</v>
      </c>
      <c r="L87" s="449">
        <f t="shared" si="0"/>
        <v>0</v>
      </c>
      <c r="M87" s="445">
        <v>-120500</v>
      </c>
      <c r="N87" s="446">
        <f>-H87*0.35</f>
        <v>0</v>
      </c>
      <c r="O87" s="454">
        <v>-30400</v>
      </c>
      <c r="P87" s="454">
        <f>-J87*0.35</f>
        <v>0</v>
      </c>
      <c r="Q87" s="455">
        <v>-90100</v>
      </c>
      <c r="R87" s="456"/>
      <c r="S87" s="457"/>
      <c r="T87" s="129" t="s">
        <v>525</v>
      </c>
      <c r="U87" s="440" t="s">
        <v>421</v>
      </c>
      <c r="V87" s="443">
        <f t="shared" si="12"/>
        <v>0</v>
      </c>
      <c r="X87" s="454">
        <v>-30400</v>
      </c>
      <c r="Y87" s="477">
        <v>0</v>
      </c>
      <c r="Z87" s="477">
        <v>0</v>
      </c>
      <c r="AA87" s="477">
        <v>0</v>
      </c>
      <c r="AB87" s="477">
        <v>0</v>
      </c>
      <c r="AC87" s="477">
        <v>0</v>
      </c>
      <c r="AD87" s="444">
        <f t="shared" si="13"/>
        <v>-30400</v>
      </c>
      <c r="AE87" s="207" t="str">
        <f t="shared" si="14"/>
        <v>OK</v>
      </c>
    </row>
    <row r="88" spans="2:31" ht="50.25" customHeight="1">
      <c r="B88" s="440">
        <v>69</v>
      </c>
      <c r="C88" s="99"/>
      <c r="D88" s="92" t="s">
        <v>527</v>
      </c>
      <c r="E88" s="38" t="s">
        <v>211</v>
      </c>
      <c r="F88" s="38" t="s">
        <v>212</v>
      </c>
      <c r="G88" s="131">
        <v>1108600</v>
      </c>
      <c r="H88" s="453">
        <v>548079</v>
      </c>
      <c r="I88" s="454">
        <v>12443</v>
      </c>
      <c r="J88" s="454">
        <v>546900</v>
      </c>
      <c r="K88" s="488">
        <v>1178</v>
      </c>
      <c r="L88" s="449">
        <f t="shared" si="0"/>
        <v>0</v>
      </c>
      <c r="M88" s="452">
        <v>-1108600</v>
      </c>
      <c r="N88" s="453">
        <v>-548079</v>
      </c>
      <c r="O88" s="454">
        <v>-12443</v>
      </c>
      <c r="P88" s="454">
        <v>-546900</v>
      </c>
      <c r="Q88" s="455">
        <v>-1178</v>
      </c>
      <c r="R88" s="456"/>
      <c r="S88" s="457"/>
      <c r="T88" s="129" t="s">
        <v>843</v>
      </c>
      <c r="U88" s="440" t="s">
        <v>421</v>
      </c>
      <c r="V88" s="443">
        <f t="shared" si="12"/>
        <v>0</v>
      </c>
      <c r="X88" s="477">
        <v>-12443</v>
      </c>
      <c r="Y88" s="477">
        <v>0</v>
      </c>
      <c r="Z88" s="477">
        <v>0</v>
      </c>
      <c r="AA88" s="477">
        <v>0</v>
      </c>
      <c r="AB88" s="477">
        <v>0</v>
      </c>
      <c r="AC88" s="477">
        <v>0</v>
      </c>
      <c r="AD88" s="444">
        <f t="shared" si="13"/>
        <v>-12443</v>
      </c>
      <c r="AE88" s="207" t="str">
        <f t="shared" si="14"/>
        <v>OK</v>
      </c>
    </row>
    <row r="89" spans="2:31" ht="50.25" customHeight="1">
      <c r="B89" s="440">
        <v>70</v>
      </c>
      <c r="C89" s="99"/>
      <c r="D89" s="91"/>
      <c r="E89" s="38" t="s">
        <v>216</v>
      </c>
      <c r="F89" s="38" t="s">
        <v>217</v>
      </c>
      <c r="G89" s="415">
        <v>487000</v>
      </c>
      <c r="H89" s="490">
        <v>0</v>
      </c>
      <c r="I89" s="490">
        <v>120687</v>
      </c>
      <c r="J89" s="490">
        <v>365500</v>
      </c>
      <c r="K89" s="491">
        <v>813</v>
      </c>
      <c r="L89" s="492">
        <f t="shared" si="0"/>
        <v>0</v>
      </c>
      <c r="M89" s="445">
        <v>-243500</v>
      </c>
      <c r="N89" s="453">
        <v>0</v>
      </c>
      <c r="O89" s="454">
        <v>-60344</v>
      </c>
      <c r="P89" s="454">
        <v>-182800</v>
      </c>
      <c r="Q89" s="455">
        <v>-356</v>
      </c>
      <c r="R89" s="456"/>
      <c r="S89" s="457"/>
      <c r="T89" s="129" t="s">
        <v>395</v>
      </c>
      <c r="U89" s="440" t="s">
        <v>421</v>
      </c>
      <c r="V89" s="443">
        <f t="shared" si="12"/>
        <v>0</v>
      </c>
      <c r="X89" s="454">
        <v>-60344</v>
      </c>
      <c r="Y89" s="477">
        <v>0</v>
      </c>
      <c r="Z89" s="477">
        <v>0</v>
      </c>
      <c r="AA89" s="477">
        <v>0</v>
      </c>
      <c r="AB89" s="477">
        <v>0</v>
      </c>
      <c r="AC89" s="477">
        <v>0</v>
      </c>
      <c r="AD89" s="444">
        <f t="shared" si="13"/>
        <v>-60344</v>
      </c>
      <c r="AE89" s="207" t="str">
        <f t="shared" si="14"/>
        <v>OK</v>
      </c>
    </row>
    <row r="90" spans="2:31" ht="50.25" customHeight="1">
      <c r="B90" s="440">
        <v>72</v>
      </c>
      <c r="C90" s="99"/>
      <c r="D90" s="91" t="s">
        <v>219</v>
      </c>
      <c r="E90" s="38" t="s">
        <v>220</v>
      </c>
      <c r="F90" s="38" t="s">
        <v>762</v>
      </c>
      <c r="G90" s="415">
        <v>478850</v>
      </c>
      <c r="H90" s="490">
        <v>230118</v>
      </c>
      <c r="I90" s="490">
        <v>0</v>
      </c>
      <c r="J90" s="490">
        <v>247600</v>
      </c>
      <c r="K90" s="491">
        <v>1132</v>
      </c>
      <c r="L90" s="492">
        <f t="shared" si="0"/>
        <v>0</v>
      </c>
      <c r="M90" s="445">
        <v>-167000</v>
      </c>
      <c r="N90" s="446">
        <v>-80342</v>
      </c>
      <c r="O90" s="454">
        <v>0</v>
      </c>
      <c r="P90" s="454">
        <v>-86500</v>
      </c>
      <c r="Q90" s="455">
        <v>-158</v>
      </c>
      <c r="R90" s="456"/>
      <c r="S90" s="457"/>
      <c r="T90" s="129" t="s">
        <v>528</v>
      </c>
      <c r="U90" s="440" t="s">
        <v>421</v>
      </c>
      <c r="V90" s="443">
        <f t="shared" si="1"/>
        <v>0</v>
      </c>
      <c r="X90" s="477"/>
      <c r="Y90" s="477"/>
      <c r="Z90" s="477"/>
      <c r="AA90" s="477"/>
      <c r="AB90" s="477"/>
      <c r="AC90" s="477"/>
      <c r="AD90" s="444">
        <f t="shared" si="2"/>
        <v>0</v>
      </c>
      <c r="AE90" s="207" t="str">
        <f t="shared" si="3"/>
        <v>OK</v>
      </c>
    </row>
    <row r="91" spans="2:31" ht="71.25" customHeight="1">
      <c r="B91" s="440">
        <v>74</v>
      </c>
      <c r="C91" s="99"/>
      <c r="D91" s="90" t="s">
        <v>223</v>
      </c>
      <c r="E91" s="38" t="s">
        <v>224</v>
      </c>
      <c r="F91" s="38" t="s">
        <v>667</v>
      </c>
      <c r="G91" s="131">
        <v>7148810</v>
      </c>
      <c r="H91" s="453">
        <v>3498350</v>
      </c>
      <c r="I91" s="454">
        <v>113870</v>
      </c>
      <c r="J91" s="454">
        <v>3535200</v>
      </c>
      <c r="K91" s="488">
        <v>1390</v>
      </c>
      <c r="L91" s="449">
        <f t="shared" si="0"/>
        <v>0</v>
      </c>
      <c r="M91" s="445">
        <v>-2430750</v>
      </c>
      <c r="N91" s="446">
        <v>-1189609</v>
      </c>
      <c r="O91" s="454">
        <v>-38649</v>
      </c>
      <c r="P91" s="454">
        <v>-1202000</v>
      </c>
      <c r="Q91" s="455">
        <v>-492</v>
      </c>
      <c r="R91" s="456"/>
      <c r="S91" s="457"/>
      <c r="T91" s="129" t="s">
        <v>721</v>
      </c>
      <c r="U91" s="440" t="s">
        <v>421</v>
      </c>
      <c r="V91" s="489">
        <f aca="true" t="shared" si="16" ref="V91:V122">M91-N91-O91-P91-Q91</f>
        <v>0</v>
      </c>
      <c r="X91" s="454">
        <v>-38649</v>
      </c>
      <c r="Y91" s="477"/>
      <c r="Z91" s="477"/>
      <c r="AA91" s="477"/>
      <c r="AB91" s="477"/>
      <c r="AC91" s="477"/>
      <c r="AD91" s="444">
        <f aca="true" t="shared" si="17" ref="AD91:AD122">SUM(X91:AC91)</f>
        <v>-38649</v>
      </c>
      <c r="AE91" s="207" t="str">
        <f aca="true" t="shared" si="18" ref="AE91:AE128">IF(O91=AD91,"OK","OUT")</f>
        <v>OK</v>
      </c>
    </row>
    <row r="92" spans="2:31" ht="31.5" customHeight="1">
      <c r="B92" s="440">
        <v>76</v>
      </c>
      <c r="C92" s="99"/>
      <c r="D92" s="91" t="s">
        <v>846</v>
      </c>
      <c r="E92" s="38" t="s">
        <v>846</v>
      </c>
      <c r="F92" s="38" t="s">
        <v>847</v>
      </c>
      <c r="G92" s="131">
        <v>2154</v>
      </c>
      <c r="H92" s="453"/>
      <c r="I92" s="454"/>
      <c r="J92" s="454"/>
      <c r="K92" s="488"/>
      <c r="L92" s="449">
        <f t="shared" si="0"/>
        <v>2154</v>
      </c>
      <c r="M92" s="445">
        <v>-2154</v>
      </c>
      <c r="N92" s="446"/>
      <c r="O92" s="454">
        <v>-2154</v>
      </c>
      <c r="P92" s="454"/>
      <c r="Q92" s="455"/>
      <c r="R92" s="456"/>
      <c r="S92" s="457"/>
      <c r="T92" s="129"/>
      <c r="U92" s="440" t="s">
        <v>421</v>
      </c>
      <c r="V92" s="443">
        <f t="shared" si="16"/>
        <v>0</v>
      </c>
      <c r="X92" s="477"/>
      <c r="Y92" s="454">
        <v>-2154</v>
      </c>
      <c r="Z92" s="477"/>
      <c r="AA92" s="477"/>
      <c r="AB92" s="477"/>
      <c r="AC92" s="477"/>
      <c r="AD92" s="444">
        <f t="shared" si="17"/>
        <v>-2154</v>
      </c>
      <c r="AE92" s="207" t="str">
        <f t="shared" si="18"/>
        <v>OK</v>
      </c>
    </row>
    <row r="93" spans="2:31" ht="48" customHeight="1">
      <c r="B93" s="440">
        <v>77</v>
      </c>
      <c r="C93" s="99"/>
      <c r="D93" s="92"/>
      <c r="E93" s="38" t="s">
        <v>604</v>
      </c>
      <c r="F93" s="38" t="s">
        <v>847</v>
      </c>
      <c r="G93" s="131">
        <v>350</v>
      </c>
      <c r="H93" s="451"/>
      <c r="I93" s="451"/>
      <c r="J93" s="451"/>
      <c r="K93" s="493"/>
      <c r="L93" s="449">
        <f t="shared" si="0"/>
        <v>350</v>
      </c>
      <c r="M93" s="452">
        <v>-350</v>
      </c>
      <c r="N93" s="453"/>
      <c r="O93" s="454"/>
      <c r="P93" s="454"/>
      <c r="Q93" s="455">
        <v>-350</v>
      </c>
      <c r="R93" s="456"/>
      <c r="S93" s="457"/>
      <c r="T93" s="129"/>
      <c r="U93" s="440" t="s">
        <v>421</v>
      </c>
      <c r="V93" s="443">
        <f t="shared" si="16"/>
        <v>0</v>
      </c>
      <c r="X93" s="477"/>
      <c r="Y93" s="454"/>
      <c r="Z93" s="477"/>
      <c r="AA93" s="477"/>
      <c r="AB93" s="477"/>
      <c r="AC93" s="477"/>
      <c r="AD93" s="444">
        <f t="shared" si="17"/>
        <v>0</v>
      </c>
      <c r="AE93" s="207" t="str">
        <f t="shared" si="18"/>
        <v>OK</v>
      </c>
    </row>
    <row r="94" spans="2:31" ht="125.25" customHeight="1">
      <c r="B94" s="440">
        <v>78</v>
      </c>
      <c r="C94" s="99"/>
      <c r="D94" s="90" t="s">
        <v>227</v>
      </c>
      <c r="E94" s="51" t="s">
        <v>261</v>
      </c>
      <c r="F94" s="38" t="s">
        <v>668</v>
      </c>
      <c r="G94" s="131">
        <v>5748033</v>
      </c>
      <c r="H94" s="451">
        <v>2121934</v>
      </c>
      <c r="I94" s="451">
        <v>528448</v>
      </c>
      <c r="J94" s="451">
        <v>3077900</v>
      </c>
      <c r="K94" s="493">
        <v>19751</v>
      </c>
      <c r="L94" s="449">
        <f t="shared" si="0"/>
        <v>0</v>
      </c>
      <c r="M94" s="452">
        <v>-2011000</v>
      </c>
      <c r="N94" s="453">
        <v>-742372</v>
      </c>
      <c r="O94" s="454">
        <v>-184890</v>
      </c>
      <c r="P94" s="454">
        <v>-1076900</v>
      </c>
      <c r="Q94" s="455">
        <v>-6838</v>
      </c>
      <c r="R94" s="456"/>
      <c r="S94" s="457"/>
      <c r="T94" s="129" t="s">
        <v>524</v>
      </c>
      <c r="U94" s="440" t="s">
        <v>421</v>
      </c>
      <c r="V94" s="443">
        <f t="shared" si="16"/>
        <v>0</v>
      </c>
      <c r="X94" s="454">
        <v>-184890</v>
      </c>
      <c r="Y94" s="477">
        <v>0</v>
      </c>
      <c r="Z94" s="477">
        <v>0</v>
      </c>
      <c r="AA94" s="477">
        <v>0</v>
      </c>
      <c r="AB94" s="477">
        <v>0</v>
      </c>
      <c r="AC94" s="477">
        <v>0</v>
      </c>
      <c r="AD94" s="444">
        <f t="shared" si="17"/>
        <v>-184890</v>
      </c>
      <c r="AE94" s="207" t="str">
        <f t="shared" si="18"/>
        <v>OK</v>
      </c>
    </row>
    <row r="95" spans="2:31" ht="31.5" customHeight="1">
      <c r="B95" s="440">
        <v>79</v>
      </c>
      <c r="C95" s="99"/>
      <c r="D95" s="91"/>
      <c r="E95" s="51" t="s">
        <v>262</v>
      </c>
      <c r="F95" s="38" t="s">
        <v>263</v>
      </c>
      <c r="G95" s="131">
        <v>115200</v>
      </c>
      <c r="H95" s="453">
        <v>0</v>
      </c>
      <c r="I95" s="454">
        <v>17280</v>
      </c>
      <c r="J95" s="454">
        <v>97200</v>
      </c>
      <c r="K95" s="488">
        <v>720</v>
      </c>
      <c r="L95" s="449">
        <f t="shared" si="0"/>
        <v>0</v>
      </c>
      <c r="M95" s="445">
        <v>-23000</v>
      </c>
      <c r="N95" s="453">
        <v>0</v>
      </c>
      <c r="O95" s="454">
        <v>-3436</v>
      </c>
      <c r="P95" s="454">
        <v>-19500</v>
      </c>
      <c r="Q95" s="455">
        <v>-64</v>
      </c>
      <c r="R95" s="456"/>
      <c r="S95" s="457"/>
      <c r="T95" s="129" t="s">
        <v>707</v>
      </c>
      <c r="U95" s="440" t="s">
        <v>421</v>
      </c>
      <c r="V95" s="443">
        <f t="shared" si="16"/>
        <v>0</v>
      </c>
      <c r="X95" s="454">
        <v>-3436</v>
      </c>
      <c r="Y95" s="477">
        <v>0</v>
      </c>
      <c r="Z95" s="477">
        <v>0</v>
      </c>
      <c r="AA95" s="477">
        <v>0</v>
      </c>
      <c r="AB95" s="477">
        <v>0</v>
      </c>
      <c r="AC95" s="477">
        <v>0</v>
      </c>
      <c r="AD95" s="444">
        <f t="shared" si="17"/>
        <v>-3436</v>
      </c>
      <c r="AE95" s="207" t="str">
        <f t="shared" si="18"/>
        <v>OK</v>
      </c>
    </row>
    <row r="96" spans="2:31" ht="31.5" customHeight="1">
      <c r="B96" s="440">
        <v>81</v>
      </c>
      <c r="C96" s="99"/>
      <c r="D96" s="91" t="s">
        <v>265</v>
      </c>
      <c r="E96" s="56" t="s">
        <v>618</v>
      </c>
      <c r="F96" s="38" t="s">
        <v>848</v>
      </c>
      <c r="G96" s="131">
        <v>37700</v>
      </c>
      <c r="L96" s="449">
        <f t="shared" si="0"/>
        <v>37700</v>
      </c>
      <c r="M96" s="452">
        <v>-37700</v>
      </c>
      <c r="N96" s="453"/>
      <c r="O96" s="454"/>
      <c r="P96" s="454"/>
      <c r="Q96" s="455">
        <v>-37700</v>
      </c>
      <c r="R96" s="456"/>
      <c r="S96" s="457"/>
      <c r="T96" s="129" t="s">
        <v>849</v>
      </c>
      <c r="U96" s="440" t="s">
        <v>421</v>
      </c>
      <c r="V96" s="443">
        <f t="shared" si="16"/>
        <v>0</v>
      </c>
      <c r="X96" s="477"/>
      <c r="Y96" s="477"/>
      <c r="Z96" s="477"/>
      <c r="AA96" s="477"/>
      <c r="AB96" s="477"/>
      <c r="AC96" s="477"/>
      <c r="AD96" s="444">
        <f t="shared" si="17"/>
        <v>0</v>
      </c>
      <c r="AE96" s="207" t="str">
        <f t="shared" si="18"/>
        <v>OK</v>
      </c>
    </row>
    <row r="97" spans="2:31" ht="57.75" customHeight="1">
      <c r="B97" s="440">
        <v>82</v>
      </c>
      <c r="C97" s="99"/>
      <c r="D97" s="91"/>
      <c r="E97" s="51" t="s">
        <v>268</v>
      </c>
      <c r="F97" s="38"/>
      <c r="G97" s="131">
        <v>185367</v>
      </c>
      <c r="H97" s="451">
        <v>0</v>
      </c>
      <c r="I97" s="451">
        <v>5000</v>
      </c>
      <c r="J97" s="451">
        <v>0</v>
      </c>
      <c r="K97" s="493">
        <v>180367</v>
      </c>
      <c r="L97" s="449">
        <f t="shared" si="0"/>
        <v>0</v>
      </c>
      <c r="M97" s="452">
        <v>-185367</v>
      </c>
      <c r="N97" s="453"/>
      <c r="O97" s="454">
        <v>-5000</v>
      </c>
      <c r="P97" s="454"/>
      <c r="Q97" s="455">
        <f>M97-O97</f>
        <v>-180367</v>
      </c>
      <c r="R97" s="456"/>
      <c r="S97" s="457"/>
      <c r="T97" s="129" t="s">
        <v>662</v>
      </c>
      <c r="U97" s="440" t="s">
        <v>421</v>
      </c>
      <c r="V97" s="443">
        <f t="shared" si="16"/>
        <v>0</v>
      </c>
      <c r="X97" s="477"/>
      <c r="Y97" s="477">
        <v>-5000</v>
      </c>
      <c r="Z97" s="477"/>
      <c r="AA97" s="477"/>
      <c r="AB97" s="477"/>
      <c r="AC97" s="477"/>
      <c r="AD97" s="444">
        <f t="shared" si="17"/>
        <v>-5000</v>
      </c>
      <c r="AE97" s="207" t="str">
        <f t="shared" si="18"/>
        <v>OK</v>
      </c>
    </row>
    <row r="98" spans="2:31" ht="39.75" customHeight="1">
      <c r="B98" s="440">
        <v>83</v>
      </c>
      <c r="C98" s="99"/>
      <c r="D98" s="91"/>
      <c r="E98" s="38" t="s">
        <v>531</v>
      </c>
      <c r="F98" s="38"/>
      <c r="G98" s="131">
        <v>206500</v>
      </c>
      <c r="L98" s="449">
        <f t="shared" si="0"/>
        <v>206500</v>
      </c>
      <c r="M98" s="452">
        <v>-206500</v>
      </c>
      <c r="N98" s="453"/>
      <c r="O98" s="454"/>
      <c r="P98" s="454">
        <v>-204500</v>
      </c>
      <c r="Q98" s="455">
        <v>-2000</v>
      </c>
      <c r="R98" s="456"/>
      <c r="S98" s="457"/>
      <c r="T98" s="129" t="s">
        <v>850</v>
      </c>
      <c r="U98" s="440" t="s">
        <v>421</v>
      </c>
      <c r="V98" s="443">
        <f t="shared" si="16"/>
        <v>0</v>
      </c>
      <c r="X98" s="477"/>
      <c r="Y98" s="477"/>
      <c r="Z98" s="477"/>
      <c r="AA98" s="477"/>
      <c r="AB98" s="477"/>
      <c r="AC98" s="477"/>
      <c r="AD98" s="444">
        <f t="shared" si="17"/>
        <v>0</v>
      </c>
      <c r="AE98" s="207" t="str">
        <f t="shared" si="18"/>
        <v>OK</v>
      </c>
    </row>
    <row r="99" spans="2:31" ht="31.5" customHeight="1">
      <c r="B99" s="440">
        <v>84</v>
      </c>
      <c r="C99" s="99"/>
      <c r="D99" s="91"/>
      <c r="E99" s="130" t="s">
        <v>269</v>
      </c>
      <c r="F99" s="38" t="s">
        <v>713</v>
      </c>
      <c r="G99" s="131">
        <v>82000</v>
      </c>
      <c r="H99" s="536"/>
      <c r="I99" s="478"/>
      <c r="J99" s="478"/>
      <c r="K99" s="547"/>
      <c r="L99" s="449">
        <f t="shared" si="0"/>
        <v>82000</v>
      </c>
      <c r="M99" s="445">
        <v>-82000</v>
      </c>
      <c r="N99" s="453"/>
      <c r="O99" s="454"/>
      <c r="P99" s="454">
        <v>-81800</v>
      </c>
      <c r="Q99" s="455">
        <v>-200</v>
      </c>
      <c r="R99" s="456"/>
      <c r="S99" s="457"/>
      <c r="T99" s="129"/>
      <c r="U99" s="440" t="s">
        <v>421</v>
      </c>
      <c r="V99" s="443">
        <f t="shared" si="16"/>
        <v>0</v>
      </c>
      <c r="X99" s="477"/>
      <c r="Y99" s="477"/>
      <c r="Z99" s="477"/>
      <c r="AA99" s="477"/>
      <c r="AB99" s="477"/>
      <c r="AC99" s="477"/>
      <c r="AD99" s="444">
        <f t="shared" si="17"/>
        <v>0</v>
      </c>
      <c r="AE99" s="207" t="str">
        <f t="shared" si="18"/>
        <v>OK</v>
      </c>
    </row>
    <row r="100" spans="2:31" ht="31.5" customHeight="1">
      <c r="B100" s="440">
        <v>85</v>
      </c>
      <c r="C100" s="99"/>
      <c r="D100" s="91"/>
      <c r="E100" s="50" t="s">
        <v>270</v>
      </c>
      <c r="F100" s="38" t="s">
        <v>270</v>
      </c>
      <c r="G100" s="131">
        <v>261631</v>
      </c>
      <c r="H100" s="536"/>
      <c r="I100" s="478"/>
      <c r="J100" s="478"/>
      <c r="K100" s="547"/>
      <c r="L100" s="449">
        <f t="shared" si="0"/>
        <v>261631</v>
      </c>
      <c r="M100" s="445">
        <v>-261631</v>
      </c>
      <c r="N100" s="453"/>
      <c r="O100" s="454"/>
      <c r="P100" s="454"/>
      <c r="Q100" s="455">
        <v>-261631</v>
      </c>
      <c r="R100" s="456"/>
      <c r="S100" s="457"/>
      <c r="T100" s="129"/>
      <c r="U100" s="440" t="s">
        <v>421</v>
      </c>
      <c r="V100" s="443">
        <f t="shared" si="16"/>
        <v>0</v>
      </c>
      <c r="X100" s="477"/>
      <c r="Y100" s="477"/>
      <c r="Z100" s="477"/>
      <c r="AA100" s="477"/>
      <c r="AB100" s="477"/>
      <c r="AC100" s="477"/>
      <c r="AD100" s="444">
        <f t="shared" si="17"/>
        <v>0</v>
      </c>
      <c r="AE100" s="207" t="str">
        <f t="shared" si="18"/>
        <v>OK</v>
      </c>
    </row>
    <row r="101" spans="2:31" ht="60.75" customHeight="1">
      <c r="B101" s="440">
        <v>86</v>
      </c>
      <c r="C101" s="99"/>
      <c r="D101" s="91"/>
      <c r="E101" s="50" t="s">
        <v>700</v>
      </c>
      <c r="F101" s="38" t="s">
        <v>701</v>
      </c>
      <c r="G101" s="131">
        <v>139000</v>
      </c>
      <c r="H101" s="451">
        <v>0</v>
      </c>
      <c r="I101" s="451">
        <v>139000</v>
      </c>
      <c r="J101" s="451">
        <v>0</v>
      </c>
      <c r="K101" s="493"/>
      <c r="L101" s="449">
        <f t="shared" si="0"/>
        <v>0</v>
      </c>
      <c r="M101" s="445">
        <v>-139000</v>
      </c>
      <c r="N101" s="453"/>
      <c r="O101" s="454">
        <v>-139000</v>
      </c>
      <c r="P101" s="454"/>
      <c r="Q101" s="455">
        <v>0</v>
      </c>
      <c r="R101" s="456"/>
      <c r="S101" s="457"/>
      <c r="T101" s="129" t="s">
        <v>664</v>
      </c>
      <c r="U101" s="440" t="s">
        <v>421</v>
      </c>
      <c r="V101" s="443">
        <f t="shared" si="16"/>
        <v>0</v>
      </c>
      <c r="X101" s="477">
        <v>0</v>
      </c>
      <c r="Y101" s="477">
        <v>0</v>
      </c>
      <c r="Z101" s="477">
        <v>0</v>
      </c>
      <c r="AA101" s="477">
        <v>0</v>
      </c>
      <c r="AB101" s="477">
        <v>-139000</v>
      </c>
      <c r="AC101" s="477">
        <v>0</v>
      </c>
      <c r="AD101" s="444">
        <f t="shared" si="17"/>
        <v>-139000</v>
      </c>
      <c r="AE101" s="207" t="str">
        <f t="shared" si="18"/>
        <v>OK</v>
      </c>
    </row>
    <row r="102" spans="2:31" ht="60.75" customHeight="1">
      <c r="B102" s="440">
        <v>87</v>
      </c>
      <c r="C102" s="99"/>
      <c r="D102" s="93"/>
      <c r="E102" s="38"/>
      <c r="F102" s="38" t="s">
        <v>702</v>
      </c>
      <c r="G102" s="131">
        <v>7000</v>
      </c>
      <c r="H102" s="451">
        <v>0</v>
      </c>
      <c r="I102" s="451">
        <v>7000</v>
      </c>
      <c r="J102" s="451">
        <v>0</v>
      </c>
      <c r="K102" s="493"/>
      <c r="L102" s="449">
        <f t="shared" si="0"/>
        <v>0</v>
      </c>
      <c r="M102" s="452">
        <v>-7000</v>
      </c>
      <c r="N102" s="453"/>
      <c r="O102" s="454">
        <v>-7000</v>
      </c>
      <c r="P102" s="454"/>
      <c r="Q102" s="455">
        <v>0</v>
      </c>
      <c r="R102" s="456"/>
      <c r="S102" s="457"/>
      <c r="T102" s="129" t="s">
        <v>664</v>
      </c>
      <c r="U102" s="440" t="s">
        <v>421</v>
      </c>
      <c r="V102" s="443">
        <f t="shared" si="16"/>
        <v>0</v>
      </c>
      <c r="X102" s="477">
        <v>0</v>
      </c>
      <c r="Y102" s="477">
        <v>0</v>
      </c>
      <c r="Z102" s="477">
        <v>0</v>
      </c>
      <c r="AA102" s="477">
        <v>0</v>
      </c>
      <c r="AB102" s="477">
        <v>-7000</v>
      </c>
      <c r="AC102" s="477">
        <v>0</v>
      </c>
      <c r="AD102" s="444">
        <f t="shared" si="17"/>
        <v>-7000</v>
      </c>
      <c r="AE102" s="207" t="str">
        <f t="shared" si="18"/>
        <v>OK</v>
      </c>
    </row>
    <row r="103" spans="2:31" ht="68.25" customHeight="1">
      <c r="B103" s="440">
        <v>89</v>
      </c>
      <c r="C103" s="99"/>
      <c r="D103" s="90" t="s">
        <v>271</v>
      </c>
      <c r="E103" s="38" t="s">
        <v>40</v>
      </c>
      <c r="F103" s="38" t="s">
        <v>703</v>
      </c>
      <c r="G103" s="131">
        <v>1086000</v>
      </c>
      <c r="H103" s="536"/>
      <c r="I103" s="478"/>
      <c r="J103" s="478"/>
      <c r="K103" s="547"/>
      <c r="L103" s="449">
        <f t="shared" si="0"/>
        <v>1086000</v>
      </c>
      <c r="M103" s="445">
        <v>-243000</v>
      </c>
      <c r="N103" s="446"/>
      <c r="O103" s="454"/>
      <c r="P103" s="454">
        <v>-242900</v>
      </c>
      <c r="Q103" s="455">
        <v>-100</v>
      </c>
      <c r="R103" s="456"/>
      <c r="S103" s="457"/>
      <c r="T103" s="129" t="s">
        <v>96</v>
      </c>
      <c r="U103" s="440" t="s">
        <v>421</v>
      </c>
      <c r="V103" s="443">
        <f t="shared" si="16"/>
        <v>0</v>
      </c>
      <c r="X103" s="477"/>
      <c r="Y103" s="477"/>
      <c r="Z103" s="477"/>
      <c r="AA103" s="477"/>
      <c r="AB103" s="477"/>
      <c r="AC103" s="477"/>
      <c r="AD103" s="444">
        <f t="shared" si="17"/>
        <v>0</v>
      </c>
      <c r="AE103" s="207" t="str">
        <f t="shared" si="18"/>
        <v>OK</v>
      </c>
    </row>
    <row r="104" spans="2:31" ht="50.25" customHeight="1">
      <c r="B104" s="440">
        <v>90</v>
      </c>
      <c r="C104" s="99"/>
      <c r="D104" s="91" t="s">
        <v>669</v>
      </c>
      <c r="E104" s="38" t="s">
        <v>674</v>
      </c>
      <c r="F104" s="38"/>
      <c r="G104" s="131">
        <v>5482755</v>
      </c>
      <c r="H104" s="453">
        <v>2733316</v>
      </c>
      <c r="I104" s="454">
        <v>927228</v>
      </c>
      <c r="J104" s="454">
        <v>1821900</v>
      </c>
      <c r="K104" s="488">
        <v>311</v>
      </c>
      <c r="L104" s="449">
        <f t="shared" si="0"/>
        <v>0</v>
      </c>
      <c r="M104" s="445">
        <v>-1919000</v>
      </c>
      <c r="N104" s="446">
        <v>-956678</v>
      </c>
      <c r="O104" s="454">
        <v>-324536</v>
      </c>
      <c r="P104" s="454">
        <v>-637700</v>
      </c>
      <c r="Q104" s="455">
        <v>-86</v>
      </c>
      <c r="R104" s="456"/>
      <c r="S104" s="457"/>
      <c r="T104" s="129" t="s">
        <v>524</v>
      </c>
      <c r="U104" s="440" t="s">
        <v>421</v>
      </c>
      <c r="V104" s="443">
        <f t="shared" si="16"/>
        <v>0</v>
      </c>
      <c r="X104" s="454">
        <v>-324536</v>
      </c>
      <c r="Y104" s="477">
        <v>0</v>
      </c>
      <c r="Z104" s="477">
        <v>0</v>
      </c>
      <c r="AA104" s="477">
        <v>0</v>
      </c>
      <c r="AB104" s="477">
        <v>0</v>
      </c>
      <c r="AC104" s="477">
        <v>0</v>
      </c>
      <c r="AD104" s="444">
        <f t="shared" si="17"/>
        <v>-324536</v>
      </c>
      <c r="AE104" s="207" t="str">
        <f t="shared" si="18"/>
        <v>OK</v>
      </c>
    </row>
    <row r="105" spans="2:31" ht="31.5" customHeight="1">
      <c r="B105" s="440">
        <v>91</v>
      </c>
      <c r="C105" s="99"/>
      <c r="D105" s="92"/>
      <c r="E105" s="38" t="s">
        <v>602</v>
      </c>
      <c r="F105" s="38" t="s">
        <v>273</v>
      </c>
      <c r="G105" s="131">
        <v>8578394</v>
      </c>
      <c r="H105" s="453">
        <v>4485173</v>
      </c>
      <c r="I105" s="454">
        <v>1796539</v>
      </c>
      <c r="J105" s="454">
        <v>2296100</v>
      </c>
      <c r="K105" s="488">
        <v>582</v>
      </c>
      <c r="L105" s="449">
        <f t="shared" si="0"/>
        <v>0</v>
      </c>
      <c r="M105" s="445">
        <v>-3002000</v>
      </c>
      <c r="N105" s="446">
        <v>-1569581</v>
      </c>
      <c r="O105" s="454">
        <v>-628697</v>
      </c>
      <c r="P105" s="454">
        <v>-803600</v>
      </c>
      <c r="Q105" s="455">
        <v>-122</v>
      </c>
      <c r="R105" s="456"/>
      <c r="S105" s="457"/>
      <c r="T105" s="129" t="s">
        <v>853</v>
      </c>
      <c r="U105" s="440" t="s">
        <v>421</v>
      </c>
      <c r="V105" s="443">
        <f t="shared" si="16"/>
        <v>0</v>
      </c>
      <c r="X105" s="454">
        <v>-628697</v>
      </c>
      <c r="Y105" s="477">
        <v>0</v>
      </c>
      <c r="Z105" s="477">
        <v>0</v>
      </c>
      <c r="AA105" s="477">
        <v>0</v>
      </c>
      <c r="AB105" s="477">
        <v>0</v>
      </c>
      <c r="AC105" s="477">
        <v>0</v>
      </c>
      <c r="AD105" s="444">
        <f t="shared" si="17"/>
        <v>-628697</v>
      </c>
      <c r="AE105" s="207" t="str">
        <f t="shared" si="18"/>
        <v>OK</v>
      </c>
    </row>
    <row r="106" spans="2:31" ht="66" customHeight="1">
      <c r="B106" s="440">
        <v>92</v>
      </c>
      <c r="C106" s="99"/>
      <c r="D106" s="90"/>
      <c r="E106" s="38" t="s">
        <v>412</v>
      </c>
      <c r="F106" s="38" t="s">
        <v>413</v>
      </c>
      <c r="G106" s="131">
        <v>636000</v>
      </c>
      <c r="H106" s="453">
        <v>0</v>
      </c>
      <c r="I106" s="454">
        <v>318000</v>
      </c>
      <c r="J106" s="454">
        <v>317000</v>
      </c>
      <c r="K106" s="488">
        <v>1000</v>
      </c>
      <c r="L106" s="449">
        <f t="shared" si="0"/>
        <v>0</v>
      </c>
      <c r="M106" s="445">
        <v>-222600</v>
      </c>
      <c r="N106" s="446">
        <v>0</v>
      </c>
      <c r="O106" s="454">
        <v>-111300</v>
      </c>
      <c r="P106" s="454">
        <v>-111000</v>
      </c>
      <c r="Q106" s="455">
        <v>-300</v>
      </c>
      <c r="R106" s="456"/>
      <c r="S106" s="457"/>
      <c r="T106" s="129" t="s">
        <v>524</v>
      </c>
      <c r="U106" s="440" t="s">
        <v>421</v>
      </c>
      <c r="V106" s="443">
        <f t="shared" si="16"/>
        <v>0</v>
      </c>
      <c r="X106" s="477">
        <v>-111300</v>
      </c>
      <c r="Y106" s="477">
        <v>0</v>
      </c>
      <c r="Z106" s="477">
        <v>0</v>
      </c>
      <c r="AA106" s="477">
        <v>0</v>
      </c>
      <c r="AB106" s="477">
        <v>0</v>
      </c>
      <c r="AC106" s="477">
        <v>0</v>
      </c>
      <c r="AD106" s="444">
        <f t="shared" si="17"/>
        <v>-111300</v>
      </c>
      <c r="AE106" s="207" t="str">
        <f t="shared" si="18"/>
        <v>OK</v>
      </c>
    </row>
    <row r="107" spans="2:31" ht="41.25" customHeight="1">
      <c r="B107" s="440">
        <v>93</v>
      </c>
      <c r="C107" s="99"/>
      <c r="D107" s="91" t="s">
        <v>274</v>
      </c>
      <c r="E107" s="38" t="s">
        <v>275</v>
      </c>
      <c r="F107" s="38" t="s">
        <v>619</v>
      </c>
      <c r="G107" s="131">
        <v>1270420</v>
      </c>
      <c r="H107" s="453">
        <v>442110</v>
      </c>
      <c r="I107" s="454">
        <v>2100</v>
      </c>
      <c r="J107" s="454">
        <v>825900</v>
      </c>
      <c r="K107" s="488">
        <v>310</v>
      </c>
      <c r="L107" s="449">
        <f t="shared" si="0"/>
        <v>0</v>
      </c>
      <c r="M107" s="445">
        <v>-444000</v>
      </c>
      <c r="N107" s="446">
        <v>-154513</v>
      </c>
      <c r="O107" s="454">
        <v>-734</v>
      </c>
      <c r="P107" s="454">
        <v>-288600</v>
      </c>
      <c r="Q107" s="455">
        <v>-153</v>
      </c>
      <c r="R107" s="456"/>
      <c r="S107" s="457"/>
      <c r="T107" s="129" t="s">
        <v>532</v>
      </c>
      <c r="U107" s="440" t="s">
        <v>421</v>
      </c>
      <c r="V107" s="443">
        <f t="shared" si="16"/>
        <v>0</v>
      </c>
      <c r="X107" s="454">
        <v>-734</v>
      </c>
      <c r="Y107" s="454"/>
      <c r="Z107" s="477"/>
      <c r="AA107" s="477"/>
      <c r="AB107" s="477"/>
      <c r="AC107" s="477"/>
      <c r="AD107" s="444">
        <f t="shared" si="17"/>
        <v>-734</v>
      </c>
      <c r="AE107" s="207" t="str">
        <f t="shared" si="18"/>
        <v>OK</v>
      </c>
    </row>
    <row r="108" spans="2:31" ht="53.25" customHeight="1">
      <c r="B108" s="440">
        <v>94</v>
      </c>
      <c r="C108" s="99"/>
      <c r="D108" s="91"/>
      <c r="E108" s="38" t="s">
        <v>276</v>
      </c>
      <c r="F108" s="38" t="s">
        <v>277</v>
      </c>
      <c r="G108" s="131">
        <v>747154</v>
      </c>
      <c r="H108" s="453">
        <v>0</v>
      </c>
      <c r="I108" s="454">
        <v>1500</v>
      </c>
      <c r="J108" s="454">
        <v>745000</v>
      </c>
      <c r="K108" s="488">
        <v>654</v>
      </c>
      <c r="L108" s="449">
        <f t="shared" si="0"/>
        <v>0</v>
      </c>
      <c r="M108" s="452">
        <v>-149000</v>
      </c>
      <c r="N108" s="453">
        <v>0</v>
      </c>
      <c r="O108" s="454">
        <v>-299</v>
      </c>
      <c r="P108" s="454">
        <v>-148600</v>
      </c>
      <c r="Q108" s="455">
        <v>-101</v>
      </c>
      <c r="R108" s="456"/>
      <c r="S108" s="457"/>
      <c r="T108" s="129" t="s">
        <v>394</v>
      </c>
      <c r="U108" s="440" t="s">
        <v>421</v>
      </c>
      <c r="V108" s="443">
        <f t="shared" si="16"/>
        <v>0</v>
      </c>
      <c r="X108" s="477">
        <v>0</v>
      </c>
      <c r="Y108" s="477">
        <v>0</v>
      </c>
      <c r="Z108" s="477">
        <v>0</v>
      </c>
      <c r="AA108" s="454">
        <v>-299</v>
      </c>
      <c r="AB108" s="477">
        <v>0</v>
      </c>
      <c r="AC108" s="477">
        <v>0</v>
      </c>
      <c r="AD108" s="444">
        <f t="shared" si="17"/>
        <v>-299</v>
      </c>
      <c r="AE108" s="207" t="str">
        <f t="shared" si="18"/>
        <v>OK</v>
      </c>
    </row>
    <row r="109" spans="2:31" ht="50.25" customHeight="1">
      <c r="B109" s="440">
        <v>96</v>
      </c>
      <c r="C109" s="99"/>
      <c r="D109" s="91"/>
      <c r="E109" s="38" t="s">
        <v>854</v>
      </c>
      <c r="F109" s="38" t="s">
        <v>855</v>
      </c>
      <c r="G109" s="131">
        <v>57177</v>
      </c>
      <c r="K109" s="394">
        <v>57177</v>
      </c>
      <c r="L109" s="449">
        <f t="shared" si="0"/>
        <v>0</v>
      </c>
      <c r="M109" s="452">
        <v>-57177</v>
      </c>
      <c r="N109" s="453"/>
      <c r="O109" s="454"/>
      <c r="P109" s="454"/>
      <c r="Q109" s="455">
        <v>-57177</v>
      </c>
      <c r="R109" s="456"/>
      <c r="S109" s="457"/>
      <c r="T109" s="129" t="s">
        <v>856</v>
      </c>
      <c r="U109" s="440" t="s">
        <v>421</v>
      </c>
      <c r="V109" s="443">
        <f t="shared" si="16"/>
        <v>0</v>
      </c>
      <c r="X109" s="477"/>
      <c r="Y109" s="477"/>
      <c r="Z109" s="477"/>
      <c r="AA109" s="477"/>
      <c r="AB109" s="477"/>
      <c r="AC109" s="477"/>
      <c r="AD109" s="444">
        <f t="shared" si="17"/>
        <v>0</v>
      </c>
      <c r="AE109" s="207" t="str">
        <f t="shared" si="18"/>
        <v>OK</v>
      </c>
    </row>
    <row r="110" spans="2:31" ht="54" customHeight="1">
      <c r="B110" s="440">
        <v>97</v>
      </c>
      <c r="C110" s="99"/>
      <c r="D110" s="91"/>
      <c r="E110" s="38" t="s">
        <v>281</v>
      </c>
      <c r="F110" s="38" t="s">
        <v>620</v>
      </c>
      <c r="G110" s="131">
        <v>415628</v>
      </c>
      <c r="H110" s="453">
        <v>0</v>
      </c>
      <c r="I110" s="454">
        <v>0</v>
      </c>
      <c r="J110" s="454">
        <v>163000</v>
      </c>
      <c r="K110" s="488">
        <v>252628</v>
      </c>
      <c r="L110" s="449">
        <f t="shared" si="0"/>
        <v>0</v>
      </c>
      <c r="M110" s="445">
        <v>-208000</v>
      </c>
      <c r="N110" s="446">
        <v>0</v>
      </c>
      <c r="O110" s="454">
        <v>0</v>
      </c>
      <c r="P110" s="454">
        <v>-81600</v>
      </c>
      <c r="Q110" s="455">
        <v>-126400</v>
      </c>
      <c r="R110" s="456"/>
      <c r="S110" s="457"/>
      <c r="T110" s="129" t="s">
        <v>533</v>
      </c>
      <c r="U110" s="440" t="s">
        <v>421</v>
      </c>
      <c r="V110" s="443">
        <f t="shared" si="16"/>
        <v>0</v>
      </c>
      <c r="X110" s="477"/>
      <c r="Y110" s="477"/>
      <c r="Z110" s="477"/>
      <c r="AA110" s="477"/>
      <c r="AB110" s="477"/>
      <c r="AC110" s="477"/>
      <c r="AD110" s="444">
        <f t="shared" si="17"/>
        <v>0</v>
      </c>
      <c r="AE110" s="207" t="str">
        <f t="shared" si="18"/>
        <v>OK</v>
      </c>
    </row>
    <row r="111" spans="2:31" ht="54" customHeight="1">
      <c r="B111" s="440">
        <v>98</v>
      </c>
      <c r="C111" s="99"/>
      <c r="D111" s="90" t="s">
        <v>422</v>
      </c>
      <c r="E111" s="38" t="s">
        <v>534</v>
      </c>
      <c r="F111" s="38"/>
      <c r="G111" s="131">
        <v>10254</v>
      </c>
      <c r="L111" s="449">
        <f t="shared" si="0"/>
        <v>10254</v>
      </c>
      <c r="M111" s="452">
        <v>-5000</v>
      </c>
      <c r="N111" s="453">
        <v>-1765</v>
      </c>
      <c r="O111" s="454"/>
      <c r="P111" s="454"/>
      <c r="Q111" s="455">
        <v>-3235</v>
      </c>
      <c r="R111" s="456"/>
      <c r="S111" s="457"/>
      <c r="T111" s="129" t="s">
        <v>533</v>
      </c>
      <c r="U111" s="440" t="s">
        <v>421</v>
      </c>
      <c r="V111" s="443">
        <f t="shared" si="16"/>
        <v>0</v>
      </c>
      <c r="X111" s="477"/>
      <c r="Y111" s="477"/>
      <c r="Z111" s="477"/>
      <c r="AA111" s="477"/>
      <c r="AB111" s="477"/>
      <c r="AC111" s="477"/>
      <c r="AD111" s="444">
        <f t="shared" si="17"/>
        <v>0</v>
      </c>
      <c r="AE111" s="207" t="str">
        <f t="shared" si="18"/>
        <v>OK</v>
      </c>
    </row>
    <row r="112" spans="2:31" ht="60.75" customHeight="1">
      <c r="B112" s="440">
        <v>99</v>
      </c>
      <c r="C112" s="99"/>
      <c r="E112" s="38" t="s">
        <v>282</v>
      </c>
      <c r="F112" s="38" t="s">
        <v>801</v>
      </c>
      <c r="G112" s="131">
        <v>1261800</v>
      </c>
      <c r="H112" s="453">
        <v>692060</v>
      </c>
      <c r="I112" s="454">
        <v>284870</v>
      </c>
      <c r="J112" s="454">
        <v>275000</v>
      </c>
      <c r="K112" s="488">
        <v>9870</v>
      </c>
      <c r="L112" s="449">
        <f t="shared" si="0"/>
        <v>0</v>
      </c>
      <c r="M112" s="445">
        <v>-442000</v>
      </c>
      <c r="N112" s="446">
        <v>-242400</v>
      </c>
      <c r="O112" s="454">
        <v>-99700</v>
      </c>
      <c r="P112" s="454">
        <v>-96300</v>
      </c>
      <c r="Q112" s="455">
        <v>-3600</v>
      </c>
      <c r="R112" s="456"/>
      <c r="S112" s="457"/>
      <c r="T112" s="129" t="s">
        <v>532</v>
      </c>
      <c r="U112" s="440" t="s">
        <v>421</v>
      </c>
      <c r="V112" s="489">
        <f t="shared" si="16"/>
        <v>0</v>
      </c>
      <c r="X112" s="454">
        <v>-99700</v>
      </c>
      <c r="Y112" s="477">
        <v>0</v>
      </c>
      <c r="Z112" s="477">
        <v>0</v>
      </c>
      <c r="AA112" s="477">
        <v>0</v>
      </c>
      <c r="AB112" s="477">
        <v>0</v>
      </c>
      <c r="AC112" s="477">
        <v>0</v>
      </c>
      <c r="AD112" s="444">
        <f t="shared" si="17"/>
        <v>-99700</v>
      </c>
      <c r="AE112" s="207" t="str">
        <f t="shared" si="18"/>
        <v>OK</v>
      </c>
    </row>
    <row r="113" spans="2:31" ht="55.5" customHeight="1">
      <c r="B113" s="440">
        <v>100</v>
      </c>
      <c r="C113" s="99"/>
      <c r="D113" s="91"/>
      <c r="E113" s="38" t="s">
        <v>283</v>
      </c>
      <c r="F113" s="38" t="s">
        <v>670</v>
      </c>
      <c r="G113" s="131">
        <v>990562</v>
      </c>
      <c r="H113" s="453">
        <v>495196</v>
      </c>
      <c r="I113" s="454">
        <v>0</v>
      </c>
      <c r="J113" s="454">
        <v>493600</v>
      </c>
      <c r="K113" s="488">
        <v>1766</v>
      </c>
      <c r="L113" s="449">
        <f t="shared" si="0"/>
        <v>0</v>
      </c>
      <c r="M113" s="445">
        <v>-347000</v>
      </c>
      <c r="N113" s="446">
        <v>-173470</v>
      </c>
      <c r="O113" s="454">
        <v>0</v>
      </c>
      <c r="P113" s="454">
        <v>-172900</v>
      </c>
      <c r="Q113" s="455">
        <v>-630</v>
      </c>
      <c r="R113" s="456"/>
      <c r="S113" s="457"/>
      <c r="T113" s="129" t="s">
        <v>532</v>
      </c>
      <c r="U113" s="440" t="s">
        <v>421</v>
      </c>
      <c r="V113" s="443">
        <f t="shared" si="16"/>
        <v>0</v>
      </c>
      <c r="X113" s="477">
        <v>0</v>
      </c>
      <c r="Y113" s="477">
        <v>0</v>
      </c>
      <c r="Z113" s="477">
        <v>0</v>
      </c>
      <c r="AA113" s="477">
        <v>0</v>
      </c>
      <c r="AB113" s="477">
        <v>0</v>
      </c>
      <c r="AC113" s="477">
        <v>0</v>
      </c>
      <c r="AD113" s="444">
        <f t="shared" si="17"/>
        <v>0</v>
      </c>
      <c r="AE113" s="207" t="str">
        <f t="shared" si="18"/>
        <v>OK</v>
      </c>
    </row>
    <row r="114" spans="2:31" ht="107.25" customHeight="1">
      <c r="B114" s="440">
        <v>101</v>
      </c>
      <c r="C114" s="99"/>
      <c r="D114" s="91"/>
      <c r="E114" s="38" t="s">
        <v>284</v>
      </c>
      <c r="F114" s="38" t="s">
        <v>621</v>
      </c>
      <c r="G114" s="131">
        <v>143488</v>
      </c>
      <c r="H114" s="453">
        <v>0</v>
      </c>
      <c r="I114" s="454">
        <v>0</v>
      </c>
      <c r="J114" s="454">
        <v>143400</v>
      </c>
      <c r="K114" s="488">
        <v>88</v>
      </c>
      <c r="L114" s="449">
        <f aca="true" t="shared" si="19" ref="L114:L137">G114-H114-I114-J114-K114</f>
        <v>0</v>
      </c>
      <c r="M114" s="445">
        <v>-50000</v>
      </c>
      <c r="N114" s="446">
        <v>0</v>
      </c>
      <c r="O114" s="454">
        <v>0</v>
      </c>
      <c r="P114" s="454">
        <v>-49900</v>
      </c>
      <c r="Q114" s="455">
        <v>-100</v>
      </c>
      <c r="R114" s="456"/>
      <c r="S114" s="457"/>
      <c r="T114" s="129" t="s">
        <v>532</v>
      </c>
      <c r="U114" s="440" t="s">
        <v>421</v>
      </c>
      <c r="V114" s="443">
        <f t="shared" si="16"/>
        <v>0</v>
      </c>
      <c r="X114" s="477">
        <v>0</v>
      </c>
      <c r="Y114" s="477">
        <v>0</v>
      </c>
      <c r="Z114" s="477">
        <v>0</v>
      </c>
      <c r="AA114" s="477">
        <v>0</v>
      </c>
      <c r="AB114" s="477">
        <v>0</v>
      </c>
      <c r="AC114" s="477">
        <v>0</v>
      </c>
      <c r="AD114" s="444">
        <f t="shared" si="17"/>
        <v>0</v>
      </c>
      <c r="AE114" s="207" t="str">
        <f t="shared" si="18"/>
        <v>OK</v>
      </c>
    </row>
    <row r="115" spans="2:31" ht="58.5" customHeight="1" thickBot="1">
      <c r="B115" s="440">
        <v>102</v>
      </c>
      <c r="C115" s="99"/>
      <c r="D115" s="91"/>
      <c r="E115" s="38" t="s">
        <v>750</v>
      </c>
      <c r="F115" s="38"/>
      <c r="G115" s="131">
        <v>26918</v>
      </c>
      <c r="H115" s="494"/>
      <c r="I115" s="495">
        <v>11509</v>
      </c>
      <c r="J115" s="495"/>
      <c r="K115" s="496">
        <v>15409</v>
      </c>
      <c r="L115" s="449">
        <f t="shared" si="19"/>
        <v>0</v>
      </c>
      <c r="M115" s="445">
        <v>-13459</v>
      </c>
      <c r="N115" s="446">
        <f>-H115*0.5</f>
        <v>0</v>
      </c>
      <c r="O115" s="454">
        <v>-5755</v>
      </c>
      <c r="P115" s="454">
        <f>-J115*0.5</f>
        <v>0</v>
      </c>
      <c r="Q115" s="455">
        <v>-7704</v>
      </c>
      <c r="R115" s="456"/>
      <c r="S115" s="457"/>
      <c r="T115" s="129" t="s">
        <v>533</v>
      </c>
      <c r="U115" s="440" t="s">
        <v>421</v>
      </c>
      <c r="V115" s="443">
        <f t="shared" si="16"/>
        <v>0</v>
      </c>
      <c r="X115" s="477">
        <v>-1655</v>
      </c>
      <c r="Y115" s="477"/>
      <c r="Z115" s="477"/>
      <c r="AA115" s="477">
        <v>-4100</v>
      </c>
      <c r="AB115" s="477"/>
      <c r="AC115" s="477"/>
      <c r="AD115" s="444">
        <f t="shared" si="17"/>
        <v>-5755</v>
      </c>
      <c r="AE115" s="207" t="str">
        <f t="shared" si="18"/>
        <v>OK</v>
      </c>
    </row>
    <row r="116" spans="2:31" ht="46.5" customHeight="1" thickBot="1">
      <c r="B116" s="440">
        <v>103</v>
      </c>
      <c r="C116" s="99"/>
      <c r="D116" s="240"/>
      <c r="E116" s="56" t="s">
        <v>622</v>
      </c>
      <c r="F116" s="51" t="s">
        <v>535</v>
      </c>
      <c r="G116" s="134">
        <v>4950</v>
      </c>
      <c r="H116" s="134"/>
      <c r="I116" s="134"/>
      <c r="J116" s="134"/>
      <c r="K116" s="134"/>
      <c r="L116" s="449">
        <f t="shared" si="19"/>
        <v>4950</v>
      </c>
      <c r="M116" s="482">
        <v>-4950</v>
      </c>
      <c r="N116" s="483"/>
      <c r="O116" s="484">
        <v>-607</v>
      </c>
      <c r="P116" s="484"/>
      <c r="Q116" s="485">
        <v>-4343</v>
      </c>
      <c r="R116" s="486"/>
      <c r="S116" s="487"/>
      <c r="T116" s="145" t="s">
        <v>857</v>
      </c>
      <c r="U116" s="440" t="s">
        <v>421</v>
      </c>
      <c r="V116" s="443">
        <f t="shared" si="16"/>
        <v>0</v>
      </c>
      <c r="X116" s="477"/>
      <c r="Y116" s="484">
        <v>-607</v>
      </c>
      <c r="Z116" s="477"/>
      <c r="AA116" s="477"/>
      <c r="AB116" s="477"/>
      <c r="AC116" s="477"/>
      <c r="AD116" s="444">
        <f t="shared" si="17"/>
        <v>-607</v>
      </c>
      <c r="AE116" s="207" t="str">
        <f t="shared" si="18"/>
        <v>OK</v>
      </c>
    </row>
    <row r="117" spans="3:31" ht="31.5" customHeight="1" thickBot="1">
      <c r="C117" s="95"/>
      <c r="D117" s="96"/>
      <c r="E117" s="57"/>
      <c r="F117" s="57" t="s">
        <v>403</v>
      </c>
      <c r="G117" s="103">
        <f>SUM(G68:G116)</f>
        <v>92169082</v>
      </c>
      <c r="H117" s="103"/>
      <c r="I117" s="103"/>
      <c r="J117" s="103"/>
      <c r="K117" s="103"/>
      <c r="L117" s="449">
        <f t="shared" si="19"/>
        <v>92169082</v>
      </c>
      <c r="M117" s="467">
        <f>SUM(M68:M116)</f>
        <v>-44405397</v>
      </c>
      <c r="N117" s="463">
        <f>SUM(N68:N116)</f>
        <v>-13272348</v>
      </c>
      <c r="O117" s="464">
        <f>SUM(O68:O116)</f>
        <v>-2189896</v>
      </c>
      <c r="P117" s="464">
        <f>SUM(P68:P116)</f>
        <v>-20919100</v>
      </c>
      <c r="Q117" s="465">
        <f>SUM(Q68:Q116)</f>
        <v>-8024053</v>
      </c>
      <c r="R117" s="466"/>
      <c r="S117" s="465"/>
      <c r="T117" s="144"/>
      <c r="V117" s="443">
        <f t="shared" si="16"/>
        <v>0</v>
      </c>
      <c r="X117" s="467">
        <f aca="true" t="shared" si="20" ref="X117:AC117">SUM(X68:X116)</f>
        <v>-1644942</v>
      </c>
      <c r="Y117" s="467">
        <f t="shared" si="20"/>
        <v>-10887</v>
      </c>
      <c r="Z117" s="467">
        <f t="shared" si="20"/>
        <v>0</v>
      </c>
      <c r="AA117" s="467">
        <f t="shared" si="20"/>
        <v>-4399</v>
      </c>
      <c r="AB117" s="467">
        <f t="shared" si="20"/>
        <v>-146000</v>
      </c>
      <c r="AC117" s="467">
        <f t="shared" si="20"/>
        <v>-383668</v>
      </c>
      <c r="AD117" s="444">
        <f t="shared" si="17"/>
        <v>-2189896</v>
      </c>
      <c r="AE117" s="207" t="str">
        <f t="shared" si="18"/>
        <v>OK</v>
      </c>
    </row>
    <row r="118" spans="2:31" ht="42" customHeight="1" thickBot="1">
      <c r="B118" s="440">
        <v>104</v>
      </c>
      <c r="C118" s="88" t="s">
        <v>416</v>
      </c>
      <c r="D118" s="90" t="s">
        <v>400</v>
      </c>
      <c r="E118" s="51" t="s">
        <v>401</v>
      </c>
      <c r="F118" s="51" t="s">
        <v>402</v>
      </c>
      <c r="G118" s="134">
        <v>92000</v>
      </c>
      <c r="H118" s="134"/>
      <c r="I118" s="134"/>
      <c r="J118" s="134"/>
      <c r="K118" s="134"/>
      <c r="L118" s="451">
        <f t="shared" si="19"/>
        <v>92000</v>
      </c>
      <c r="M118" s="482">
        <v>-46000</v>
      </c>
      <c r="N118" s="483">
        <v>-23000</v>
      </c>
      <c r="O118" s="484"/>
      <c r="P118" s="484"/>
      <c r="Q118" s="485">
        <v>-23000</v>
      </c>
      <c r="R118" s="486"/>
      <c r="S118" s="487"/>
      <c r="T118" s="145" t="s">
        <v>656</v>
      </c>
      <c r="U118" s="440" t="s">
        <v>421</v>
      </c>
      <c r="V118" s="443">
        <f t="shared" si="16"/>
        <v>0</v>
      </c>
      <c r="X118" s="480"/>
      <c r="Y118" s="454"/>
      <c r="AB118" s="480"/>
      <c r="AD118" s="444">
        <f t="shared" si="17"/>
        <v>0</v>
      </c>
      <c r="AE118" s="207" t="str">
        <f t="shared" si="18"/>
        <v>OK</v>
      </c>
    </row>
    <row r="119" spans="3:31" ht="31.5" customHeight="1" thickBot="1">
      <c r="C119" s="95"/>
      <c r="D119" s="96"/>
      <c r="E119" s="57"/>
      <c r="F119" s="57" t="s">
        <v>403</v>
      </c>
      <c r="G119" s="103">
        <f>SUM(G118:G118)</f>
        <v>92000</v>
      </c>
      <c r="H119" s="103"/>
      <c r="I119" s="103"/>
      <c r="J119" s="103"/>
      <c r="K119" s="103"/>
      <c r="L119" s="466">
        <f t="shared" si="19"/>
        <v>92000</v>
      </c>
      <c r="M119" s="103">
        <f>SUM(M118:M118)</f>
        <v>-46000</v>
      </c>
      <c r="N119" s="104">
        <f>SUM(N118:N118)</f>
        <v>-23000</v>
      </c>
      <c r="O119" s="105">
        <f>SUM(O118:O118)</f>
        <v>0</v>
      </c>
      <c r="P119" s="105">
        <f>SUM(P118:P118)</f>
        <v>0</v>
      </c>
      <c r="Q119" s="106">
        <f>SUM(Q118:Q118)</f>
        <v>-23000</v>
      </c>
      <c r="R119" s="121"/>
      <c r="S119" s="106"/>
      <c r="T119" s="144"/>
      <c r="V119" s="443">
        <f t="shared" si="16"/>
        <v>0</v>
      </c>
      <c r="X119" s="103">
        <f aca="true" t="shared" si="21" ref="X119:AC119">SUM(X118:X118)</f>
        <v>0</v>
      </c>
      <c r="Y119" s="103">
        <f t="shared" si="21"/>
        <v>0</v>
      </c>
      <c r="Z119" s="103">
        <f t="shared" si="21"/>
        <v>0</v>
      </c>
      <c r="AA119" s="103">
        <f t="shared" si="21"/>
        <v>0</v>
      </c>
      <c r="AB119" s="103">
        <f t="shared" si="21"/>
        <v>0</v>
      </c>
      <c r="AC119" s="103">
        <f t="shared" si="21"/>
        <v>0</v>
      </c>
      <c r="AD119" s="444">
        <f t="shared" si="17"/>
        <v>0</v>
      </c>
      <c r="AE119" s="207" t="str">
        <f t="shared" si="18"/>
        <v>OK</v>
      </c>
    </row>
    <row r="120" spans="2:31" ht="40.5" customHeight="1">
      <c r="B120" s="440">
        <v>105</v>
      </c>
      <c r="C120" s="89" t="s">
        <v>415</v>
      </c>
      <c r="D120" s="217" t="s">
        <v>571</v>
      </c>
      <c r="E120" s="50" t="s">
        <v>589</v>
      </c>
      <c r="F120" s="50"/>
      <c r="G120" s="132">
        <v>3418</v>
      </c>
      <c r="H120" s="132"/>
      <c r="I120" s="132"/>
      <c r="J120" s="132"/>
      <c r="K120" s="132"/>
      <c r="L120" s="449">
        <f t="shared" si="19"/>
        <v>3418</v>
      </c>
      <c r="M120" s="176">
        <v>-3418</v>
      </c>
      <c r="N120" s="191"/>
      <c r="O120" s="184"/>
      <c r="P120" s="184"/>
      <c r="Q120" s="185">
        <v>-3418</v>
      </c>
      <c r="R120" s="176"/>
      <c r="S120" s="186"/>
      <c r="T120" s="142" t="s">
        <v>590</v>
      </c>
      <c r="U120" s="440" t="s">
        <v>421</v>
      </c>
      <c r="V120" s="443">
        <f t="shared" si="16"/>
        <v>0</v>
      </c>
      <c r="AD120" s="444">
        <f t="shared" si="17"/>
        <v>0</v>
      </c>
      <c r="AE120" s="207" t="str">
        <f t="shared" si="18"/>
        <v>OK</v>
      </c>
    </row>
    <row r="121" spans="2:31" ht="60" customHeight="1">
      <c r="B121" s="440">
        <v>106</v>
      </c>
      <c r="C121" s="497"/>
      <c r="D121" s="498"/>
      <c r="E121" s="50" t="s">
        <v>572</v>
      </c>
      <c r="F121" s="50" t="s">
        <v>858</v>
      </c>
      <c r="G121" s="132">
        <v>217</v>
      </c>
      <c r="H121" s="132"/>
      <c r="I121" s="132"/>
      <c r="J121" s="132"/>
      <c r="K121" s="132"/>
      <c r="L121" s="449">
        <f t="shared" si="19"/>
        <v>217</v>
      </c>
      <c r="M121" s="176">
        <v>-217</v>
      </c>
      <c r="N121" s="191"/>
      <c r="O121" s="184"/>
      <c r="P121" s="184"/>
      <c r="Q121" s="185">
        <v>-217</v>
      </c>
      <c r="R121" s="176"/>
      <c r="S121" s="186"/>
      <c r="T121" s="142"/>
      <c r="U121" s="440" t="s">
        <v>421</v>
      </c>
      <c r="V121" s="443">
        <f t="shared" si="16"/>
        <v>0</v>
      </c>
      <c r="AD121" s="444">
        <f t="shared" si="17"/>
        <v>0</v>
      </c>
      <c r="AE121" s="207" t="str">
        <f t="shared" si="18"/>
        <v>OK</v>
      </c>
    </row>
    <row r="122" spans="2:31" ht="60" customHeight="1">
      <c r="B122" s="440">
        <v>107</v>
      </c>
      <c r="C122" s="497"/>
      <c r="D122" s="499"/>
      <c r="E122" s="38"/>
      <c r="F122" s="50" t="s">
        <v>859</v>
      </c>
      <c r="G122" s="132">
        <v>7000</v>
      </c>
      <c r="H122" s="132"/>
      <c r="I122" s="132"/>
      <c r="J122" s="132"/>
      <c r="K122" s="132"/>
      <c r="L122" s="449">
        <f t="shared" si="19"/>
        <v>7000</v>
      </c>
      <c r="M122" s="176">
        <v>-7000</v>
      </c>
      <c r="N122" s="191">
        <v>-7000</v>
      </c>
      <c r="O122" s="184"/>
      <c r="P122" s="184"/>
      <c r="Q122" s="185"/>
      <c r="R122" s="176"/>
      <c r="S122" s="186"/>
      <c r="T122" s="142"/>
      <c r="U122" s="440" t="s">
        <v>421</v>
      </c>
      <c r="V122" s="443">
        <f t="shared" si="16"/>
        <v>0</v>
      </c>
      <c r="AD122" s="444">
        <f t="shared" si="17"/>
        <v>0</v>
      </c>
      <c r="AE122" s="207" t="str">
        <f t="shared" si="18"/>
        <v>OK</v>
      </c>
    </row>
    <row r="123" spans="2:31" ht="60" customHeight="1">
      <c r="B123" s="440">
        <v>108</v>
      </c>
      <c r="C123" s="497"/>
      <c r="D123" s="217" t="s">
        <v>423</v>
      </c>
      <c r="E123" s="56" t="s">
        <v>751</v>
      </c>
      <c r="F123" s="50" t="s">
        <v>862</v>
      </c>
      <c r="G123" s="132">
        <v>502891</v>
      </c>
      <c r="H123" s="132"/>
      <c r="I123" s="132"/>
      <c r="J123" s="132"/>
      <c r="K123" s="132"/>
      <c r="L123" s="449">
        <f t="shared" si="19"/>
        <v>502891</v>
      </c>
      <c r="M123" s="176">
        <v>-502891</v>
      </c>
      <c r="N123" s="191">
        <v>-165315</v>
      </c>
      <c r="O123" s="184"/>
      <c r="P123" s="184"/>
      <c r="Q123" s="185">
        <f>M123-N123</f>
        <v>-337576</v>
      </c>
      <c r="R123" s="176"/>
      <c r="S123" s="186"/>
      <c r="T123" s="142"/>
      <c r="U123" s="440" t="s">
        <v>421</v>
      </c>
      <c r="V123" s="443">
        <f aca="true" t="shared" si="22" ref="V123:V140">M123-N123-O123-P123-Q123</f>
        <v>0</v>
      </c>
      <c r="AD123" s="444">
        <f aca="true" t="shared" si="23" ref="AD123:AD139">SUM(X123:AC123)</f>
        <v>0</v>
      </c>
      <c r="AE123" s="207" t="str">
        <f t="shared" si="18"/>
        <v>OK</v>
      </c>
    </row>
    <row r="124" spans="2:31" ht="58.5" customHeight="1">
      <c r="B124" s="440">
        <v>109</v>
      </c>
      <c r="C124" s="497"/>
      <c r="D124" s="217"/>
      <c r="E124" s="56"/>
      <c r="F124" s="38" t="s">
        <v>575</v>
      </c>
      <c r="G124" s="131">
        <v>10485</v>
      </c>
      <c r="H124" s="131"/>
      <c r="I124" s="131"/>
      <c r="J124" s="131"/>
      <c r="K124" s="131"/>
      <c r="L124" s="449">
        <f t="shared" si="19"/>
        <v>10485</v>
      </c>
      <c r="M124" s="177">
        <v>-10485</v>
      </c>
      <c r="N124" s="190"/>
      <c r="O124" s="187"/>
      <c r="P124" s="187"/>
      <c r="Q124" s="188">
        <v>-10485</v>
      </c>
      <c r="R124" s="177"/>
      <c r="S124" s="189"/>
      <c r="T124" s="129"/>
      <c r="U124" s="440" t="s">
        <v>421</v>
      </c>
      <c r="V124" s="443">
        <f t="shared" si="22"/>
        <v>0</v>
      </c>
      <c r="AD124" s="444">
        <f t="shared" si="23"/>
        <v>0</v>
      </c>
      <c r="AE124" s="207" t="str">
        <f t="shared" si="18"/>
        <v>OK</v>
      </c>
    </row>
    <row r="125" spans="2:31" ht="67.5" customHeight="1">
      <c r="B125" s="440">
        <v>110</v>
      </c>
      <c r="C125" s="497"/>
      <c r="D125" s="217"/>
      <c r="E125" s="56"/>
      <c r="F125" s="38" t="s">
        <v>577</v>
      </c>
      <c r="G125" s="131">
        <v>152403</v>
      </c>
      <c r="H125" s="131"/>
      <c r="I125" s="131"/>
      <c r="J125" s="131"/>
      <c r="K125" s="131"/>
      <c r="L125" s="449">
        <f t="shared" si="19"/>
        <v>152403</v>
      </c>
      <c r="M125" s="177">
        <v>-152403</v>
      </c>
      <c r="N125" s="190">
        <v>-49672</v>
      </c>
      <c r="O125" s="187"/>
      <c r="P125" s="187"/>
      <c r="Q125" s="188">
        <f>M125-N125</f>
        <v>-102731</v>
      </c>
      <c r="R125" s="177"/>
      <c r="S125" s="189"/>
      <c r="T125" s="129"/>
      <c r="U125" s="440" t="s">
        <v>421</v>
      </c>
      <c r="V125" s="443">
        <f t="shared" si="22"/>
        <v>0</v>
      </c>
      <c r="AD125" s="444">
        <f t="shared" si="23"/>
        <v>0</v>
      </c>
      <c r="AE125" s="207" t="str">
        <f t="shared" si="18"/>
        <v>OK</v>
      </c>
    </row>
    <row r="126" spans="2:31" ht="67.5" customHeight="1">
      <c r="B126" s="440">
        <v>111</v>
      </c>
      <c r="C126" s="497"/>
      <c r="D126" s="217"/>
      <c r="E126" s="56"/>
      <c r="F126" s="50" t="s">
        <v>864</v>
      </c>
      <c r="G126" s="132">
        <v>2947</v>
      </c>
      <c r="H126" s="132"/>
      <c r="I126" s="132"/>
      <c r="J126" s="132"/>
      <c r="K126" s="132"/>
      <c r="L126" s="449">
        <f t="shared" si="19"/>
        <v>2947</v>
      </c>
      <c r="M126" s="176">
        <v>-2947</v>
      </c>
      <c r="N126" s="179"/>
      <c r="O126" s="184"/>
      <c r="P126" s="184"/>
      <c r="Q126" s="185">
        <v>-2947</v>
      </c>
      <c r="R126" s="176"/>
      <c r="S126" s="186"/>
      <c r="T126" s="142" t="s">
        <v>298</v>
      </c>
      <c r="U126" s="440" t="s">
        <v>752</v>
      </c>
      <c r="V126" s="443">
        <f t="shared" si="22"/>
        <v>0</v>
      </c>
      <c r="AD126" s="444">
        <f t="shared" si="23"/>
        <v>0</v>
      </c>
      <c r="AE126" s="207" t="str">
        <f t="shared" si="18"/>
        <v>OK</v>
      </c>
    </row>
    <row r="127" spans="2:32" ht="52.5" customHeight="1">
      <c r="B127" s="440">
        <v>112</v>
      </c>
      <c r="C127" s="89"/>
      <c r="D127" s="217"/>
      <c r="E127" s="38" t="s">
        <v>596</v>
      </c>
      <c r="F127" s="38" t="s">
        <v>597</v>
      </c>
      <c r="G127" s="131">
        <v>20796</v>
      </c>
      <c r="H127" s="131"/>
      <c r="I127" s="131"/>
      <c r="J127" s="131"/>
      <c r="K127" s="131"/>
      <c r="L127" s="449">
        <f t="shared" si="19"/>
        <v>20796</v>
      </c>
      <c r="M127" s="177">
        <v>-20796</v>
      </c>
      <c r="N127" s="190"/>
      <c r="O127" s="187"/>
      <c r="P127" s="187"/>
      <c r="Q127" s="188">
        <v>-20796</v>
      </c>
      <c r="R127" s="177"/>
      <c r="S127" s="189"/>
      <c r="T127" s="129"/>
      <c r="U127" s="440" t="s">
        <v>421</v>
      </c>
      <c r="V127" s="443">
        <f t="shared" si="22"/>
        <v>0</v>
      </c>
      <c r="AD127" s="444">
        <f t="shared" si="23"/>
        <v>0</v>
      </c>
      <c r="AE127" s="207" t="str">
        <f t="shared" si="18"/>
        <v>OK</v>
      </c>
      <c r="AF127" s="480"/>
    </row>
    <row r="128" spans="2:32" ht="52.5" customHeight="1">
      <c r="B128" s="440">
        <v>113</v>
      </c>
      <c r="C128" s="89"/>
      <c r="D128" s="92"/>
      <c r="E128" s="38" t="s">
        <v>591</v>
      </c>
      <c r="F128" s="38" t="s">
        <v>592</v>
      </c>
      <c r="G128" s="131">
        <v>515165</v>
      </c>
      <c r="H128" s="131"/>
      <c r="I128" s="131"/>
      <c r="J128" s="131"/>
      <c r="K128" s="131"/>
      <c r="L128" s="449">
        <f t="shared" si="19"/>
        <v>515165</v>
      </c>
      <c r="M128" s="177">
        <v>-154000</v>
      </c>
      <c r="N128" s="190"/>
      <c r="O128" s="187"/>
      <c r="P128" s="187"/>
      <c r="Q128" s="188">
        <v>-154000</v>
      </c>
      <c r="R128" s="177"/>
      <c r="S128" s="189"/>
      <c r="T128" s="129" t="s">
        <v>1</v>
      </c>
      <c r="U128" s="440" t="s">
        <v>421</v>
      </c>
      <c r="V128" s="443">
        <f t="shared" si="22"/>
        <v>0</v>
      </c>
      <c r="AD128" s="444">
        <f t="shared" si="23"/>
        <v>0</v>
      </c>
      <c r="AE128" s="207" t="str">
        <f t="shared" si="18"/>
        <v>OK</v>
      </c>
      <c r="AF128" s="480"/>
    </row>
    <row r="129" spans="2:32" ht="52.5" customHeight="1">
      <c r="B129" s="440">
        <v>114</v>
      </c>
      <c r="C129" s="89"/>
      <c r="D129" s="218" t="s">
        <v>593</v>
      </c>
      <c r="E129" s="38" t="s">
        <v>594</v>
      </c>
      <c r="F129" s="38"/>
      <c r="G129" s="131">
        <v>99299563</v>
      </c>
      <c r="H129" s="131"/>
      <c r="I129" s="131"/>
      <c r="J129" s="131"/>
      <c r="K129" s="131"/>
      <c r="L129" s="449">
        <f>G129-H129-I129-J129-K129</f>
        <v>99299563</v>
      </c>
      <c r="M129" s="452">
        <v>-43145</v>
      </c>
      <c r="N129" s="453"/>
      <c r="O129" s="454"/>
      <c r="P129" s="454">
        <v>-43100</v>
      </c>
      <c r="Q129" s="455">
        <v>-45</v>
      </c>
      <c r="R129" s="177"/>
      <c r="S129" s="189"/>
      <c r="T129" s="129" t="s">
        <v>705</v>
      </c>
      <c r="U129" s="440" t="s">
        <v>421</v>
      </c>
      <c r="V129" s="443">
        <f t="shared" si="22"/>
        <v>0</v>
      </c>
      <c r="AB129" s="454"/>
      <c r="AC129" s="480"/>
      <c r="AD129" s="444">
        <f t="shared" si="23"/>
        <v>0</v>
      </c>
      <c r="AE129" s="207" t="str">
        <f>IF(P129=AD129,"OK","OUT")</f>
        <v>OUT</v>
      </c>
      <c r="AF129" s="454">
        <v>100000</v>
      </c>
    </row>
    <row r="130" spans="2:31" ht="37.5" customHeight="1">
      <c r="B130" s="440">
        <v>115</v>
      </c>
      <c r="C130" s="89"/>
      <c r="D130" s="217" t="s">
        <v>213</v>
      </c>
      <c r="E130" s="38" t="s">
        <v>215</v>
      </c>
      <c r="F130" s="38" t="s">
        <v>44</v>
      </c>
      <c r="G130" s="131">
        <v>20340</v>
      </c>
      <c r="H130" s="131"/>
      <c r="I130" s="131"/>
      <c r="J130" s="131"/>
      <c r="K130" s="131"/>
      <c r="L130" s="449">
        <f t="shared" si="19"/>
        <v>20340</v>
      </c>
      <c r="M130" s="452">
        <v>-20340</v>
      </c>
      <c r="N130" s="453"/>
      <c r="O130" s="454">
        <v>-352</v>
      </c>
      <c r="P130" s="454"/>
      <c r="Q130" s="455">
        <f>M130-O130</f>
        <v>-19988</v>
      </c>
      <c r="R130" s="456"/>
      <c r="S130" s="457"/>
      <c r="T130" s="129"/>
      <c r="U130" s="440" t="s">
        <v>421</v>
      </c>
      <c r="V130" s="443">
        <f t="shared" si="22"/>
        <v>0</v>
      </c>
      <c r="Y130" s="454">
        <v>-352</v>
      </c>
      <c r="AD130" s="444">
        <f t="shared" si="23"/>
        <v>-352</v>
      </c>
      <c r="AE130" s="207" t="str">
        <f aca="true" t="shared" si="24" ref="AE130:AE140">IF(O130=AD130,"OK","OUT")</f>
        <v>OK</v>
      </c>
    </row>
    <row r="131" spans="2:31" ht="55.5" customHeight="1">
      <c r="B131" s="440">
        <v>116</v>
      </c>
      <c r="C131" s="89"/>
      <c r="D131" s="217"/>
      <c r="E131" s="38" t="s">
        <v>214</v>
      </c>
      <c r="F131" s="38" t="s">
        <v>45</v>
      </c>
      <c r="G131" s="131">
        <v>3480</v>
      </c>
      <c r="H131" s="131"/>
      <c r="I131" s="131"/>
      <c r="J131" s="131"/>
      <c r="K131" s="131"/>
      <c r="L131" s="449">
        <f t="shared" si="19"/>
        <v>3480</v>
      </c>
      <c r="M131" s="452">
        <v>-3480</v>
      </c>
      <c r="N131" s="453"/>
      <c r="O131" s="454"/>
      <c r="P131" s="454"/>
      <c r="Q131" s="455">
        <v>-3480</v>
      </c>
      <c r="R131" s="456"/>
      <c r="S131" s="457"/>
      <c r="T131" s="129" t="s">
        <v>198</v>
      </c>
      <c r="U131" s="440" t="s">
        <v>421</v>
      </c>
      <c r="V131" s="443">
        <f t="shared" si="22"/>
        <v>0</v>
      </c>
      <c r="X131" s="480"/>
      <c r="Y131" s="454"/>
      <c r="Z131" s="480"/>
      <c r="AA131" s="480"/>
      <c r="AB131" s="480"/>
      <c r="AC131" s="480"/>
      <c r="AD131" s="444">
        <f t="shared" si="23"/>
        <v>0</v>
      </c>
      <c r="AE131" s="207" t="str">
        <f t="shared" si="24"/>
        <v>OK</v>
      </c>
    </row>
    <row r="132" spans="2:31" ht="31.5" customHeight="1">
      <c r="B132" s="440">
        <v>117</v>
      </c>
      <c r="C132" s="99"/>
      <c r="D132" s="219" t="s">
        <v>424</v>
      </c>
      <c r="E132" s="51" t="s">
        <v>134</v>
      </c>
      <c r="F132" s="38" t="s">
        <v>135</v>
      </c>
      <c r="G132" s="131">
        <v>8290</v>
      </c>
      <c r="H132" s="131"/>
      <c r="I132" s="131"/>
      <c r="J132" s="131"/>
      <c r="K132" s="131"/>
      <c r="L132" s="449">
        <f t="shared" si="19"/>
        <v>8290</v>
      </c>
      <c r="M132" s="452">
        <v>-8290</v>
      </c>
      <c r="N132" s="453"/>
      <c r="O132" s="454"/>
      <c r="P132" s="454"/>
      <c r="Q132" s="455">
        <v>-8290</v>
      </c>
      <c r="R132" s="456"/>
      <c r="S132" s="457"/>
      <c r="T132" s="129" t="s">
        <v>72</v>
      </c>
      <c r="U132" s="440" t="s">
        <v>421</v>
      </c>
      <c r="V132" s="443">
        <f t="shared" si="22"/>
        <v>0</v>
      </c>
      <c r="X132" s="480"/>
      <c r="AD132" s="444">
        <f t="shared" si="23"/>
        <v>0</v>
      </c>
      <c r="AE132" s="207" t="str">
        <f t="shared" si="24"/>
        <v>OK</v>
      </c>
    </row>
    <row r="133" spans="2:31" ht="31.5" customHeight="1">
      <c r="B133" s="440">
        <v>118</v>
      </c>
      <c r="C133" s="99"/>
      <c r="D133" s="217"/>
      <c r="E133" s="56"/>
      <c r="F133" s="38" t="s">
        <v>623</v>
      </c>
      <c r="G133" s="131">
        <v>18000</v>
      </c>
      <c r="H133" s="131"/>
      <c r="I133" s="131"/>
      <c r="J133" s="131"/>
      <c r="K133" s="131"/>
      <c r="L133" s="449">
        <f t="shared" si="19"/>
        <v>18000</v>
      </c>
      <c r="M133" s="452">
        <v>-18000</v>
      </c>
      <c r="N133" s="453"/>
      <c r="O133" s="454"/>
      <c r="P133" s="454"/>
      <c r="Q133" s="455">
        <v>-18000</v>
      </c>
      <c r="R133" s="456"/>
      <c r="S133" s="457"/>
      <c r="T133" s="129" t="s">
        <v>58</v>
      </c>
      <c r="U133" s="440" t="s">
        <v>421</v>
      </c>
      <c r="V133" s="443">
        <f t="shared" si="22"/>
        <v>0</v>
      </c>
      <c r="X133" s="480"/>
      <c r="AD133" s="444">
        <f t="shared" si="23"/>
        <v>0</v>
      </c>
      <c r="AE133" s="207" t="str">
        <f t="shared" si="24"/>
        <v>OK</v>
      </c>
    </row>
    <row r="134" spans="2:31" ht="42.75" customHeight="1">
      <c r="B134" s="440">
        <v>119</v>
      </c>
      <c r="C134" s="89"/>
      <c r="D134" s="217"/>
      <c r="E134" s="56"/>
      <c r="F134" s="38" t="s">
        <v>581</v>
      </c>
      <c r="G134" s="131">
        <v>7762</v>
      </c>
      <c r="H134" s="131"/>
      <c r="I134" s="131"/>
      <c r="J134" s="131"/>
      <c r="K134" s="131"/>
      <c r="L134" s="449">
        <f>G134-H134-I134-J134-K134</f>
        <v>7762</v>
      </c>
      <c r="M134" s="452">
        <v>-7762</v>
      </c>
      <c r="N134" s="453"/>
      <c r="O134" s="454"/>
      <c r="P134" s="454"/>
      <c r="Q134" s="455">
        <v>-7762</v>
      </c>
      <c r="R134" s="456"/>
      <c r="S134" s="457"/>
      <c r="T134" s="129" t="s">
        <v>747</v>
      </c>
      <c r="U134" s="440" t="s">
        <v>421</v>
      </c>
      <c r="V134" s="443">
        <f t="shared" si="22"/>
        <v>0</v>
      </c>
      <c r="X134" s="480"/>
      <c r="AD134" s="444">
        <f t="shared" si="23"/>
        <v>0</v>
      </c>
      <c r="AE134" s="207" t="str">
        <f t="shared" si="24"/>
        <v>OK</v>
      </c>
    </row>
    <row r="135" spans="2:31" ht="41.25" customHeight="1">
      <c r="B135" s="440">
        <v>120</v>
      </c>
      <c r="C135" s="99"/>
      <c r="D135" s="217"/>
      <c r="E135" s="56"/>
      <c r="F135" s="38" t="s">
        <v>5</v>
      </c>
      <c r="G135" s="131">
        <v>22400</v>
      </c>
      <c r="H135" s="131"/>
      <c r="I135" s="131"/>
      <c r="J135" s="131"/>
      <c r="K135" s="131"/>
      <c r="L135" s="449">
        <f t="shared" si="19"/>
        <v>22400</v>
      </c>
      <c r="M135" s="452">
        <v>-22400</v>
      </c>
      <c r="N135" s="453"/>
      <c r="O135" s="454"/>
      <c r="P135" s="454"/>
      <c r="Q135" s="455">
        <v>-22400</v>
      </c>
      <c r="R135" s="456"/>
      <c r="S135" s="457"/>
      <c r="T135" s="129" t="s">
        <v>72</v>
      </c>
      <c r="U135" s="440" t="s">
        <v>421</v>
      </c>
      <c r="V135" s="443">
        <f t="shared" si="22"/>
        <v>0</v>
      </c>
      <c r="AD135" s="444">
        <f t="shared" si="23"/>
        <v>0</v>
      </c>
      <c r="AE135" s="207" t="str">
        <f t="shared" si="24"/>
        <v>OK</v>
      </c>
    </row>
    <row r="136" spans="2:31" ht="41.25" customHeight="1">
      <c r="B136" s="440">
        <v>121</v>
      </c>
      <c r="C136" s="99"/>
      <c r="D136" s="217"/>
      <c r="E136" s="56"/>
      <c r="F136" s="38" t="s">
        <v>6</v>
      </c>
      <c r="G136" s="131">
        <v>6454</v>
      </c>
      <c r="H136" s="131"/>
      <c r="I136" s="131"/>
      <c r="J136" s="131"/>
      <c r="K136" s="131"/>
      <c r="L136" s="449">
        <f t="shared" si="19"/>
        <v>6454</v>
      </c>
      <c r="M136" s="452">
        <v>-6454</v>
      </c>
      <c r="N136" s="453"/>
      <c r="O136" s="454"/>
      <c r="P136" s="454"/>
      <c r="Q136" s="455">
        <v>-6454</v>
      </c>
      <c r="R136" s="456"/>
      <c r="S136" s="457"/>
      <c r="T136" s="129" t="s">
        <v>72</v>
      </c>
      <c r="U136" s="440" t="s">
        <v>421</v>
      </c>
      <c r="V136" s="443">
        <f t="shared" si="22"/>
        <v>0</v>
      </c>
      <c r="AD136" s="444">
        <f t="shared" si="23"/>
        <v>0</v>
      </c>
      <c r="AE136" s="207" t="str">
        <f t="shared" si="24"/>
        <v>OK</v>
      </c>
    </row>
    <row r="137" spans="2:31" ht="43.5" customHeight="1" thickBot="1">
      <c r="B137" s="440">
        <v>122</v>
      </c>
      <c r="C137" s="99"/>
      <c r="D137" s="221" t="s">
        <v>384</v>
      </c>
      <c r="E137" s="38" t="s">
        <v>385</v>
      </c>
      <c r="F137" s="38"/>
      <c r="G137" s="131">
        <v>4902</v>
      </c>
      <c r="H137" s="131"/>
      <c r="I137" s="131"/>
      <c r="J137" s="131"/>
      <c r="K137" s="131"/>
      <c r="L137" s="449">
        <f t="shared" si="19"/>
        <v>4902</v>
      </c>
      <c r="M137" s="452">
        <v>-2500</v>
      </c>
      <c r="N137" s="453"/>
      <c r="O137" s="454"/>
      <c r="P137" s="454"/>
      <c r="Q137" s="455">
        <v>-2500</v>
      </c>
      <c r="R137" s="486"/>
      <c r="S137" s="487"/>
      <c r="T137" s="145" t="s">
        <v>95</v>
      </c>
      <c r="U137" s="440" t="s">
        <v>421</v>
      </c>
      <c r="V137" s="443">
        <f t="shared" si="22"/>
        <v>0</v>
      </c>
      <c r="X137" s="480"/>
      <c r="AD137" s="444">
        <f t="shared" si="23"/>
        <v>0</v>
      </c>
      <c r="AE137" s="207" t="str">
        <f t="shared" si="24"/>
        <v>OK</v>
      </c>
    </row>
    <row r="138" spans="3:31" ht="31.5" customHeight="1" thickBot="1">
      <c r="C138" s="95"/>
      <c r="D138" s="69"/>
      <c r="E138" s="57"/>
      <c r="F138" s="57" t="s">
        <v>403</v>
      </c>
      <c r="G138" s="103">
        <f>SUM(G120:G137)</f>
        <v>100606513</v>
      </c>
      <c r="H138" s="103"/>
      <c r="I138" s="103"/>
      <c r="J138" s="103"/>
      <c r="K138" s="103"/>
      <c r="L138" s="121"/>
      <c r="M138" s="467">
        <f>SUM(M120:M137)</f>
        <v>-986528</v>
      </c>
      <c r="N138" s="468">
        <f>SUM(N120:N137)</f>
        <v>-221987</v>
      </c>
      <c r="O138" s="464">
        <f>SUM(O120:O137)</f>
        <v>-352</v>
      </c>
      <c r="P138" s="464">
        <f>SUM(P120:P137)</f>
        <v>-43100</v>
      </c>
      <c r="Q138" s="465">
        <f>SUM(Q120:Q137)</f>
        <v>-721089</v>
      </c>
      <c r="R138" s="466"/>
      <c r="S138" s="465"/>
      <c r="T138" s="144"/>
      <c r="V138" s="443">
        <f t="shared" si="22"/>
        <v>0</v>
      </c>
      <c r="X138" s="467">
        <f aca="true" t="shared" si="25" ref="X138:AC138">SUM(X120:X137)</f>
        <v>0</v>
      </c>
      <c r="Y138" s="467">
        <f t="shared" si="25"/>
        <v>-352</v>
      </c>
      <c r="Z138" s="467">
        <f t="shared" si="25"/>
        <v>0</v>
      </c>
      <c r="AA138" s="467">
        <f t="shared" si="25"/>
        <v>0</v>
      </c>
      <c r="AB138" s="467">
        <f t="shared" si="25"/>
        <v>0</v>
      </c>
      <c r="AC138" s="467">
        <f t="shared" si="25"/>
        <v>0</v>
      </c>
      <c r="AD138" s="444">
        <f t="shared" si="23"/>
        <v>-352</v>
      </c>
      <c r="AE138" s="207" t="str">
        <f t="shared" si="24"/>
        <v>OK</v>
      </c>
    </row>
    <row r="139" spans="2:31" ht="39.75" customHeight="1" thickBot="1">
      <c r="B139" s="440">
        <v>123</v>
      </c>
      <c r="C139" s="108" t="s">
        <v>673</v>
      </c>
      <c r="D139" s="69" t="s">
        <v>673</v>
      </c>
      <c r="E139" s="57" t="s">
        <v>673</v>
      </c>
      <c r="F139" s="63"/>
      <c r="G139" s="135">
        <v>1000000</v>
      </c>
      <c r="H139" s="135"/>
      <c r="I139" s="135"/>
      <c r="J139" s="135"/>
      <c r="K139" s="135"/>
      <c r="L139" s="135"/>
      <c r="M139" s="467">
        <v>-500000</v>
      </c>
      <c r="N139" s="500"/>
      <c r="O139" s="464"/>
      <c r="P139" s="464"/>
      <c r="Q139" s="465">
        <v>-500000</v>
      </c>
      <c r="R139" s="500"/>
      <c r="S139" s="465"/>
      <c r="T139" s="87" t="s">
        <v>291</v>
      </c>
      <c r="U139" s="440" t="s">
        <v>421</v>
      </c>
      <c r="V139" s="443">
        <f t="shared" si="22"/>
        <v>0</v>
      </c>
      <c r="AD139" s="444">
        <f t="shared" si="23"/>
        <v>0</v>
      </c>
      <c r="AE139" s="207" t="str">
        <f t="shared" si="24"/>
        <v>OK</v>
      </c>
    </row>
    <row r="140" spans="3:32" ht="31.5" customHeight="1" thickBot="1">
      <c r="C140" s="501"/>
      <c r="D140" s="65"/>
      <c r="E140" s="65"/>
      <c r="F140" s="138" t="s">
        <v>156</v>
      </c>
      <c r="G140" s="212">
        <f>G7+G33+G37+G40+G48+G57+G67+G117+G119+G138+G139</f>
        <v>200781417</v>
      </c>
      <c r="H140" s="111"/>
      <c r="I140" s="111"/>
      <c r="J140" s="111"/>
      <c r="K140" s="111"/>
      <c r="L140" s="369"/>
      <c r="M140" s="31">
        <f>M7+M33+M37+M40+M48+M57+M67+M117+M119+M138+M139</f>
        <v>-50261039</v>
      </c>
      <c r="N140" s="110">
        <f>N7+N33+N37+N40+N48+N57+N67+N117+N119+N138+N139</f>
        <v>-13517335</v>
      </c>
      <c r="O140" s="111">
        <f>O7+O33+O37+O40+O48+O57+O67+O117+O119+O138+O139</f>
        <v>-3067562</v>
      </c>
      <c r="P140" s="111">
        <f>P7+P33+P37+P40+P48+P57+P67+P117+P119+P138+P139</f>
        <v>-21702700</v>
      </c>
      <c r="Q140" s="111">
        <f>Q7+Q33+Q37+Q40+Q48+Q57+Q67+Q117+Q119+Q138+Q139</f>
        <v>-12996407</v>
      </c>
      <c r="R140" s="114"/>
      <c r="S140" s="112"/>
      <c r="T140" s="87"/>
      <c r="V140" s="443">
        <f t="shared" si="22"/>
        <v>1022965</v>
      </c>
      <c r="X140" s="111">
        <f aca="true" t="shared" si="26" ref="X140:AD140">X7+X33+X37+X40+X48+X57+X67+X117+X119+X138+X139</f>
        <v>-1644942</v>
      </c>
      <c r="Y140" s="111">
        <f t="shared" si="26"/>
        <v>-11239</v>
      </c>
      <c r="Z140" s="111">
        <f t="shared" si="26"/>
        <v>0</v>
      </c>
      <c r="AA140" s="111">
        <f t="shared" si="26"/>
        <v>-4399</v>
      </c>
      <c r="AB140" s="111">
        <f t="shared" si="26"/>
        <v>-1023314</v>
      </c>
      <c r="AC140" s="111">
        <f t="shared" si="26"/>
        <v>-383668</v>
      </c>
      <c r="AD140" s="111">
        <f t="shared" si="26"/>
        <v>-3067562</v>
      </c>
      <c r="AE140" s="207" t="str">
        <f t="shared" si="24"/>
        <v>OK</v>
      </c>
      <c r="AF140" s="440">
        <f>SUM(AF9:AF139)</f>
        <v>-968117</v>
      </c>
    </row>
    <row r="141" ht="13.5">
      <c r="AE141" s="207"/>
    </row>
    <row r="142" spans="15:31" ht="13.5">
      <c r="O142" s="480"/>
      <c r="P142" s="480"/>
      <c r="Q142" s="480"/>
      <c r="R142" s="480"/>
      <c r="S142" s="480"/>
      <c r="T142" s="146"/>
      <c r="AE142" s="207"/>
    </row>
    <row r="143" spans="13:22" ht="14.25" hidden="1" thickBot="1">
      <c r="M143" s="441" t="e">
        <f>#REF!+#REF!+#REF!+#REF!+#REF!+#REF!+#REF!+#REF!+#REF!+#REF!+#REF!+'09増額'!L27+'09増額'!L30+#REF!+#REF!+#REF!+#REF!+'09増額'!L52</f>
        <v>#REF!</v>
      </c>
      <c r="N143" s="441" t="e">
        <f>#REF!+#REF!+#REF!+#REF!+#REF!+#REF!+#REF!+#REF!+#REF!+#REF!+#REF!+'09増額'!M27+'09増額'!M30+#REF!+#REF!+#REF!+#REF!+'09増額'!M52</f>
        <v>#REF!</v>
      </c>
      <c r="O143" s="502"/>
      <c r="P143" s="502"/>
      <c r="Q143" s="502"/>
      <c r="R143" s="502"/>
      <c r="S143" s="502"/>
      <c r="T143" s="146"/>
      <c r="U143" s="114" t="e">
        <f>#REF!+'09増額'!S30+#REF!+U52+#REF!+U71+U119+#REF!+U141+U142</f>
        <v>#REF!</v>
      </c>
      <c r="V143" s="441" t="e">
        <f>M143-N143-O143-P143-Q143</f>
        <v>#REF!</v>
      </c>
    </row>
    <row r="144" spans="13:22" ht="14.25" thickBot="1">
      <c r="M144" s="441"/>
      <c r="N144" s="441"/>
      <c r="O144" s="502"/>
      <c r="P144" s="502"/>
      <c r="Q144" s="480"/>
      <c r="R144" s="502"/>
      <c r="S144" s="502"/>
      <c r="T144" s="146"/>
      <c r="U144" s="113"/>
      <c r="V144" s="441"/>
    </row>
    <row r="145" spans="3:22" ht="37.5" customHeight="1" thickBot="1">
      <c r="C145" s="436" t="s">
        <v>375</v>
      </c>
      <c r="D145" s="437"/>
      <c r="E145" s="437"/>
      <c r="F145" s="438"/>
      <c r="G145" s="212"/>
      <c r="H145" s="111"/>
      <c r="I145" s="111"/>
      <c r="J145" s="111"/>
      <c r="K145" s="111"/>
      <c r="L145" s="369"/>
      <c r="M145" s="31">
        <f>'09増額'!L60+'09減額'!L138</f>
        <v>-69853243</v>
      </c>
      <c r="N145" s="368">
        <f>'09増額'!M60+'09減額'!M138</f>
        <v>-16459883</v>
      </c>
      <c r="O145" s="111">
        <f>'09増額'!N60+'09減額'!N138</f>
        <v>-5517360</v>
      </c>
      <c r="P145" s="111">
        <f>'09増額'!O60+'09減額'!O138</f>
        <v>-47876000</v>
      </c>
      <c r="Q145" s="111">
        <f>'09増額'!P60+'09減額'!P138</f>
        <v>0</v>
      </c>
      <c r="R145" s="369"/>
      <c r="S145" s="112"/>
      <c r="T145" s="144"/>
      <c r="V145" s="441"/>
    </row>
    <row r="146" spans="13:22" ht="13.5" hidden="1">
      <c r="M146" s="441" t="e">
        <f>M140-M143</f>
        <v>#REF!</v>
      </c>
      <c r="N146" s="441" t="e">
        <f>N140-N143</f>
        <v>#REF!</v>
      </c>
      <c r="O146" s="502"/>
      <c r="P146" s="502"/>
      <c r="Q146" s="502"/>
      <c r="R146" s="502"/>
      <c r="S146" s="502"/>
      <c r="T146" s="146"/>
      <c r="V146" s="441" t="e">
        <f>M146-N146-O146-P146-Q146</f>
        <v>#REF!</v>
      </c>
    </row>
    <row r="147" spans="15:20" ht="13.5">
      <c r="O147" s="480"/>
      <c r="P147" s="480"/>
      <c r="Q147" s="480"/>
      <c r="R147" s="480"/>
      <c r="S147" s="480"/>
      <c r="T147" s="146"/>
    </row>
    <row r="148" spans="15:20" ht="13.5">
      <c r="O148" s="480"/>
      <c r="P148" s="480"/>
      <c r="Q148" s="503"/>
      <c r="R148" s="480"/>
      <c r="S148" s="480"/>
      <c r="T148" s="146"/>
    </row>
    <row r="149" spans="15:20" ht="13.5">
      <c r="O149" s="480"/>
      <c r="P149" s="480"/>
      <c r="Q149" s="451"/>
      <c r="R149" s="480"/>
      <c r="S149" s="480"/>
      <c r="T149" s="146"/>
    </row>
    <row r="150" spans="15:20" ht="13.5">
      <c r="O150" s="480"/>
      <c r="P150" s="480"/>
      <c r="Q150" s="504"/>
      <c r="R150" s="480"/>
      <c r="S150" s="480"/>
      <c r="T150" s="146"/>
    </row>
    <row r="151" spans="15:20" ht="13.5">
      <c r="O151" s="435"/>
      <c r="P151" s="435"/>
      <c r="Q151" s="504"/>
      <c r="R151" s="480"/>
      <c r="S151" s="480"/>
      <c r="T151" s="146"/>
    </row>
  </sheetData>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60"/>
  <sheetViews>
    <sheetView workbookViewId="0" topLeftCell="A10">
      <selection activeCell="L13" sqref="L13"/>
    </sheetView>
  </sheetViews>
  <sheetFormatPr defaultColWidth="9.00390625" defaultRowHeight="13.5"/>
  <cols>
    <col min="1" max="1" width="3.75390625" style="0" customWidth="1"/>
    <col min="2" max="2" width="2.625" style="0" customWidth="1"/>
    <col min="3" max="3" width="5.125" style="0" customWidth="1"/>
    <col min="4" max="4" width="7.50390625" style="0" customWidth="1"/>
    <col min="5" max="5" width="11.00390625" style="0" customWidth="1"/>
    <col min="6" max="6" width="11.625" style="0" customWidth="1"/>
    <col min="7" max="11" width="0" style="0" hidden="1" customWidth="1"/>
    <col min="12" max="12" width="12.75390625" style="66" customWidth="1"/>
    <col min="16" max="16" width="13.50390625" style="0" customWidth="1"/>
    <col min="17" max="17" width="6.625" style="0" customWidth="1"/>
    <col min="19" max="19" width="4.625" style="0" customWidth="1"/>
  </cols>
  <sheetData>
    <row r="1" spans="3:18" s="66" customFormat="1" ht="17.25" customHeight="1">
      <c r="C1" s="73"/>
      <c r="D1" s="74" t="s">
        <v>158</v>
      </c>
      <c r="E1" s="75" t="s">
        <v>614</v>
      </c>
      <c r="F1" s="75"/>
      <c r="G1" s="75"/>
      <c r="H1" s="75"/>
      <c r="I1" s="75"/>
      <c r="J1" s="75"/>
      <c r="K1" s="75"/>
      <c r="L1" s="76"/>
      <c r="N1" s="76"/>
      <c r="O1" s="76"/>
      <c r="P1" s="77" t="s">
        <v>123</v>
      </c>
      <c r="Q1" s="77"/>
      <c r="R1" s="141"/>
    </row>
    <row r="2" spans="3:18" s="66" customFormat="1" ht="24" customHeight="1" thickBot="1">
      <c r="C2" s="73"/>
      <c r="D2" s="73"/>
      <c r="L2" s="78"/>
      <c r="N2" s="79"/>
      <c r="O2" s="378"/>
      <c r="P2" s="80"/>
      <c r="Q2" s="81"/>
      <c r="R2" s="141"/>
    </row>
    <row r="3" spans="2:30" s="66" customFormat="1" ht="21.75" customHeight="1">
      <c r="B3" s="82" t="s">
        <v>138</v>
      </c>
      <c r="C3" s="83" t="s">
        <v>157</v>
      </c>
      <c r="D3" s="84" t="s">
        <v>435</v>
      </c>
      <c r="E3" s="136" t="s">
        <v>120</v>
      </c>
      <c r="F3" s="223" t="s">
        <v>119</v>
      </c>
      <c r="G3" s="879" t="s">
        <v>720</v>
      </c>
      <c r="H3" s="852"/>
      <c r="I3" s="852"/>
      <c r="J3" s="853"/>
      <c r="K3" s="395"/>
      <c r="L3" s="225" t="s">
        <v>118</v>
      </c>
      <c r="M3" s="879" t="s">
        <v>117</v>
      </c>
      <c r="N3" s="852"/>
      <c r="O3" s="852"/>
      <c r="P3" s="853"/>
      <c r="Q3" s="84"/>
      <c r="R3" s="86" t="s">
        <v>116</v>
      </c>
      <c r="T3" s="28" t="s">
        <v>803</v>
      </c>
      <c r="V3" s="127" t="s">
        <v>140</v>
      </c>
      <c r="W3" s="127" t="s">
        <v>142</v>
      </c>
      <c r="X3" s="127" t="s">
        <v>681</v>
      </c>
      <c r="Y3" s="127" t="s">
        <v>288</v>
      </c>
      <c r="Z3" s="127" t="s">
        <v>778</v>
      </c>
      <c r="AA3" s="127" t="s">
        <v>683</v>
      </c>
      <c r="AB3" s="127"/>
      <c r="AC3" s="127" t="s">
        <v>802</v>
      </c>
      <c r="AD3" s="127" t="s">
        <v>42</v>
      </c>
    </row>
    <row r="4" spans="2:18" s="66" customFormat="1" ht="21.75" customHeight="1" thickBot="1">
      <c r="B4" s="122"/>
      <c r="C4" s="123"/>
      <c r="D4" s="124"/>
      <c r="E4" s="137"/>
      <c r="F4" s="227" t="s">
        <v>814</v>
      </c>
      <c r="G4" s="200" t="s">
        <v>115</v>
      </c>
      <c r="H4" s="201" t="s">
        <v>114</v>
      </c>
      <c r="I4" s="201" t="s">
        <v>113</v>
      </c>
      <c r="J4" s="202" t="s">
        <v>112</v>
      </c>
      <c r="K4" s="396" t="s">
        <v>661</v>
      </c>
      <c r="L4" s="228"/>
      <c r="M4" s="200" t="s">
        <v>115</v>
      </c>
      <c r="N4" s="201" t="s">
        <v>114</v>
      </c>
      <c r="O4" s="201" t="s">
        <v>113</v>
      </c>
      <c r="P4" s="202" t="s">
        <v>112</v>
      </c>
      <c r="Q4" s="124"/>
      <c r="R4" s="87"/>
    </row>
    <row r="5" spans="1:29" s="66" customFormat="1" ht="42" customHeight="1">
      <c r="A5" s="66">
        <v>1</v>
      </c>
      <c r="B5" s="89" t="s">
        <v>374</v>
      </c>
      <c r="C5" s="98" t="s">
        <v>28</v>
      </c>
      <c r="D5" s="51" t="s">
        <v>29</v>
      </c>
      <c r="E5" s="50" t="s">
        <v>30</v>
      </c>
      <c r="F5" s="132" t="s">
        <v>442</v>
      </c>
      <c r="G5" s="132"/>
      <c r="H5" s="132"/>
      <c r="I5" s="132"/>
      <c r="J5" s="132"/>
      <c r="K5" s="176"/>
      <c r="L5" s="33">
        <v>22070</v>
      </c>
      <c r="M5" s="34"/>
      <c r="N5" s="35">
        <v>22070</v>
      </c>
      <c r="O5" s="35"/>
      <c r="P5" s="27"/>
      <c r="Q5" s="155"/>
      <c r="R5" s="129" t="s">
        <v>657</v>
      </c>
      <c r="S5" s="66" t="s">
        <v>425</v>
      </c>
      <c r="T5" s="128">
        <f aca="true" t="shared" si="0" ref="T5:T36">L5-M5-N5-O5-P5</f>
        <v>0</v>
      </c>
      <c r="Z5" s="35">
        <v>22070</v>
      </c>
      <c r="AB5" s="210">
        <f aca="true" t="shared" si="1" ref="AB5:AB36">SUM(V5:AA5)</f>
        <v>22070</v>
      </c>
      <c r="AC5" s="207" t="str">
        <f aca="true" t="shared" si="2" ref="AC5:AC36">IF(N5=AB5,"OK","OUT")</f>
        <v>OK</v>
      </c>
    </row>
    <row r="6" spans="1:29" s="66" customFormat="1" ht="31.5" customHeight="1">
      <c r="A6" s="66">
        <v>2</v>
      </c>
      <c r="B6" s="89"/>
      <c r="C6" s="92"/>
      <c r="D6" s="50"/>
      <c r="E6" s="50" t="s">
        <v>812</v>
      </c>
      <c r="F6" s="132">
        <v>2677</v>
      </c>
      <c r="G6" s="132"/>
      <c r="H6" s="132"/>
      <c r="I6" s="132"/>
      <c r="J6" s="132"/>
      <c r="K6" s="176"/>
      <c r="L6" s="33">
        <v>2569</v>
      </c>
      <c r="M6" s="34"/>
      <c r="N6" s="35"/>
      <c r="O6" s="35"/>
      <c r="P6" s="27">
        <v>2569</v>
      </c>
      <c r="Q6" s="155"/>
      <c r="R6" s="142" t="s">
        <v>813</v>
      </c>
      <c r="S6" s="66" t="s">
        <v>425</v>
      </c>
      <c r="T6" s="128">
        <f t="shared" si="0"/>
        <v>0</v>
      </c>
      <c r="Z6" s="35"/>
      <c r="AB6" s="210">
        <f t="shared" si="1"/>
        <v>0</v>
      </c>
      <c r="AC6" s="207" t="str">
        <f t="shared" si="2"/>
        <v>OK</v>
      </c>
    </row>
    <row r="7" spans="1:29" s="66" customFormat="1" ht="55.5" customHeight="1" thickBot="1">
      <c r="A7" s="66">
        <v>3</v>
      </c>
      <c r="B7" s="89"/>
      <c r="C7" s="90" t="s">
        <v>448</v>
      </c>
      <c r="D7" s="51" t="s">
        <v>822</v>
      </c>
      <c r="E7" s="50" t="s">
        <v>823</v>
      </c>
      <c r="F7" s="132">
        <v>292</v>
      </c>
      <c r="G7" s="132"/>
      <c r="H7" s="132"/>
      <c r="I7" s="132"/>
      <c r="J7" s="132"/>
      <c r="K7" s="176"/>
      <c r="L7" s="33">
        <v>10000</v>
      </c>
      <c r="M7" s="34"/>
      <c r="N7" s="35"/>
      <c r="O7" s="35"/>
      <c r="P7" s="27">
        <v>10000</v>
      </c>
      <c r="Q7" s="155"/>
      <c r="R7" s="142" t="s">
        <v>824</v>
      </c>
      <c r="S7" s="66" t="s">
        <v>425</v>
      </c>
      <c r="T7" s="128">
        <f t="shared" si="0"/>
        <v>0</v>
      </c>
      <c r="Z7" s="62"/>
      <c r="AB7" s="210">
        <f t="shared" si="1"/>
        <v>0</v>
      </c>
      <c r="AC7" s="207" t="str">
        <f t="shared" si="2"/>
        <v>OK</v>
      </c>
    </row>
    <row r="8" spans="2:29" s="127" customFormat="1" ht="30" customHeight="1" thickBot="1">
      <c r="B8" s="167"/>
      <c r="C8" s="69"/>
      <c r="D8" s="57"/>
      <c r="E8" s="57" t="s">
        <v>403</v>
      </c>
      <c r="F8" s="168">
        <f>SUM(F5:F7)</f>
        <v>2969</v>
      </c>
      <c r="G8" s="168">
        <f aca="true" t="shared" si="3" ref="G8:P8">SUM(G5:G7)</f>
        <v>0</v>
      </c>
      <c r="H8" s="168">
        <f t="shared" si="3"/>
        <v>0</v>
      </c>
      <c r="I8" s="168">
        <f t="shared" si="3"/>
        <v>0</v>
      </c>
      <c r="J8" s="168">
        <f t="shared" si="3"/>
        <v>0</v>
      </c>
      <c r="K8" s="168">
        <f t="shared" si="3"/>
        <v>0</v>
      </c>
      <c r="L8" s="175">
        <f t="shared" si="3"/>
        <v>34639</v>
      </c>
      <c r="M8" s="169">
        <f t="shared" si="3"/>
        <v>0</v>
      </c>
      <c r="N8" s="170">
        <f t="shared" si="3"/>
        <v>22070</v>
      </c>
      <c r="O8" s="170">
        <f t="shared" si="3"/>
        <v>0</v>
      </c>
      <c r="P8" s="400">
        <f t="shared" si="3"/>
        <v>12569</v>
      </c>
      <c r="Q8" s="171"/>
      <c r="R8" s="171"/>
      <c r="T8" s="128">
        <f t="shared" si="0"/>
        <v>0</v>
      </c>
      <c r="V8" s="175">
        <f aca="true" t="shared" si="4" ref="V8:AA8">SUM(V7)</f>
        <v>0</v>
      </c>
      <c r="W8" s="175">
        <f t="shared" si="4"/>
        <v>0</v>
      </c>
      <c r="X8" s="175">
        <f t="shared" si="4"/>
        <v>0</v>
      </c>
      <c r="Y8" s="175">
        <f t="shared" si="4"/>
        <v>0</v>
      </c>
      <c r="Z8" s="175">
        <f t="shared" si="4"/>
        <v>0</v>
      </c>
      <c r="AA8" s="175">
        <f t="shared" si="4"/>
        <v>0</v>
      </c>
      <c r="AB8" s="210">
        <f t="shared" si="1"/>
        <v>0</v>
      </c>
      <c r="AC8" s="207" t="str">
        <f t="shared" si="2"/>
        <v>OUT</v>
      </c>
    </row>
    <row r="9" spans="1:29" s="66" customFormat="1" ht="43.5" customHeight="1">
      <c r="A9" s="66">
        <v>4</v>
      </c>
      <c r="B9" s="89" t="s">
        <v>438</v>
      </c>
      <c r="C9" s="91" t="s">
        <v>439</v>
      </c>
      <c r="D9" s="51" t="s">
        <v>456</v>
      </c>
      <c r="E9" s="50" t="s">
        <v>457</v>
      </c>
      <c r="F9" s="132">
        <v>393308</v>
      </c>
      <c r="G9" s="132"/>
      <c r="H9" s="132"/>
      <c r="I9" s="132"/>
      <c r="J9" s="132"/>
      <c r="K9" s="176"/>
      <c r="L9" s="33">
        <v>56668</v>
      </c>
      <c r="M9" s="34"/>
      <c r="N9" s="35"/>
      <c r="O9" s="35"/>
      <c r="P9" s="27">
        <v>56668</v>
      </c>
      <c r="Q9" s="155"/>
      <c r="R9" s="142" t="s">
        <v>821</v>
      </c>
      <c r="S9" s="66" t="s">
        <v>425</v>
      </c>
      <c r="T9" s="128">
        <f t="shared" si="0"/>
        <v>0</v>
      </c>
      <c r="AB9" s="210">
        <f t="shared" si="1"/>
        <v>0</v>
      </c>
      <c r="AC9" s="207" t="str">
        <f t="shared" si="2"/>
        <v>OK</v>
      </c>
    </row>
    <row r="10" spans="1:29" s="66" customFormat="1" ht="45.75" customHeight="1">
      <c r="A10" s="66">
        <v>5</v>
      </c>
      <c r="B10" s="89"/>
      <c r="C10" s="94" t="s">
        <v>387</v>
      </c>
      <c r="D10" s="51" t="s">
        <v>53</v>
      </c>
      <c r="E10" s="50" t="s">
        <v>82</v>
      </c>
      <c r="F10" s="132">
        <v>984530</v>
      </c>
      <c r="G10" s="132"/>
      <c r="H10" s="132"/>
      <c r="I10" s="132"/>
      <c r="J10" s="132"/>
      <c r="K10" s="176"/>
      <c r="L10" s="33">
        <v>3000</v>
      </c>
      <c r="M10" s="34"/>
      <c r="N10" s="35"/>
      <c r="O10" s="35"/>
      <c r="P10" s="27">
        <v>3000</v>
      </c>
      <c r="Q10" s="155"/>
      <c r="R10" s="129" t="s">
        <v>819</v>
      </c>
      <c r="S10" s="66" t="s">
        <v>425</v>
      </c>
      <c r="T10" s="128">
        <f t="shared" si="0"/>
        <v>0</v>
      </c>
      <c r="AB10" s="210">
        <f t="shared" si="1"/>
        <v>0</v>
      </c>
      <c r="AC10" s="207" t="str">
        <f t="shared" si="2"/>
        <v>OK</v>
      </c>
    </row>
    <row r="11" spans="1:29" s="66" customFormat="1" ht="45.75" customHeight="1">
      <c r="A11" s="66">
        <v>6</v>
      </c>
      <c r="B11" s="89"/>
      <c r="C11" s="215"/>
      <c r="D11" s="216"/>
      <c r="E11" s="50" t="s">
        <v>81</v>
      </c>
      <c r="F11" s="132">
        <v>59491</v>
      </c>
      <c r="G11" s="132"/>
      <c r="H11" s="132"/>
      <c r="I11" s="132"/>
      <c r="J11" s="132"/>
      <c r="K11" s="176"/>
      <c r="L11" s="33">
        <v>12000</v>
      </c>
      <c r="M11" s="34"/>
      <c r="N11" s="35"/>
      <c r="O11" s="35"/>
      <c r="P11" s="27">
        <v>12000</v>
      </c>
      <c r="Q11" s="155"/>
      <c r="R11" s="56" t="s">
        <v>18</v>
      </c>
      <c r="S11" s="76" t="s">
        <v>425</v>
      </c>
      <c r="T11" s="128">
        <f t="shared" si="0"/>
        <v>0</v>
      </c>
      <c r="AA11" s="76"/>
      <c r="AB11" s="210">
        <f t="shared" si="1"/>
        <v>0</v>
      </c>
      <c r="AC11" s="207" t="str">
        <f t="shared" si="2"/>
        <v>OK</v>
      </c>
    </row>
    <row r="12" spans="1:29" s="66" customFormat="1" ht="45.75" customHeight="1">
      <c r="A12" s="66">
        <v>7</v>
      </c>
      <c r="B12" s="89"/>
      <c r="C12" s="214"/>
      <c r="D12" s="38" t="s">
        <v>466</v>
      </c>
      <c r="E12" s="50" t="s">
        <v>467</v>
      </c>
      <c r="F12" s="132">
        <v>183024</v>
      </c>
      <c r="G12" s="132"/>
      <c r="H12" s="132"/>
      <c r="I12" s="132"/>
      <c r="J12" s="132"/>
      <c r="K12" s="176"/>
      <c r="L12" s="33">
        <v>46344</v>
      </c>
      <c r="M12" s="34"/>
      <c r="N12" s="35"/>
      <c r="O12" s="35"/>
      <c r="P12" s="27">
        <v>46344</v>
      </c>
      <c r="Q12" s="155"/>
      <c r="R12" s="38" t="s">
        <v>817</v>
      </c>
      <c r="S12" s="76" t="s">
        <v>425</v>
      </c>
      <c r="T12" s="128">
        <f t="shared" si="0"/>
        <v>0</v>
      </c>
      <c r="AA12" s="76"/>
      <c r="AB12" s="210">
        <f t="shared" si="1"/>
        <v>0</v>
      </c>
      <c r="AC12" s="207" t="str">
        <f t="shared" si="2"/>
        <v>OK</v>
      </c>
    </row>
    <row r="13" spans="1:29" s="66" customFormat="1" ht="57" customHeight="1">
      <c r="A13" s="66">
        <v>8</v>
      </c>
      <c r="B13" s="89"/>
      <c r="C13" s="214"/>
      <c r="D13" s="38" t="s">
        <v>37</v>
      </c>
      <c r="E13" s="50" t="s">
        <v>426</v>
      </c>
      <c r="F13" s="132">
        <v>5213540</v>
      </c>
      <c r="G13" s="132"/>
      <c r="H13" s="132"/>
      <c r="I13" s="132"/>
      <c r="J13" s="132"/>
      <c r="K13" s="176"/>
      <c r="L13" s="33">
        <v>1278000</v>
      </c>
      <c r="M13" s="34"/>
      <c r="N13" s="35"/>
      <c r="O13" s="35"/>
      <c r="P13" s="27">
        <v>1278000</v>
      </c>
      <c r="Q13" s="186"/>
      <c r="R13" s="129" t="s">
        <v>722</v>
      </c>
      <c r="S13" s="66" t="s">
        <v>425</v>
      </c>
      <c r="T13" s="128">
        <f t="shared" si="0"/>
        <v>0</v>
      </c>
      <c r="W13" s="25"/>
      <c r="AB13" s="210">
        <f t="shared" si="1"/>
        <v>0</v>
      </c>
      <c r="AC13" s="207" t="str">
        <f t="shared" si="2"/>
        <v>OK</v>
      </c>
    </row>
    <row r="14" spans="1:29" s="66" customFormat="1" ht="56.25" customHeight="1">
      <c r="A14" s="66">
        <v>9</v>
      </c>
      <c r="B14" s="89"/>
      <c r="C14" s="158"/>
      <c r="D14" s="50" t="s">
        <v>430</v>
      </c>
      <c r="E14" s="50" t="s">
        <v>689</v>
      </c>
      <c r="F14" s="132">
        <v>84669</v>
      </c>
      <c r="G14" s="132"/>
      <c r="H14" s="132"/>
      <c r="I14" s="132"/>
      <c r="J14" s="132"/>
      <c r="K14" s="176"/>
      <c r="L14" s="33">
        <v>257374</v>
      </c>
      <c r="M14" s="34"/>
      <c r="N14" s="35"/>
      <c r="O14" s="35"/>
      <c r="P14" s="27">
        <v>257374</v>
      </c>
      <c r="Q14" s="155"/>
      <c r="R14" s="142" t="s">
        <v>820</v>
      </c>
      <c r="S14" s="66" t="s">
        <v>425</v>
      </c>
      <c r="T14" s="128">
        <f t="shared" si="0"/>
        <v>0</v>
      </c>
      <c r="AB14" s="210">
        <f t="shared" si="1"/>
        <v>0</v>
      </c>
      <c r="AC14" s="207" t="str">
        <f t="shared" si="2"/>
        <v>OK</v>
      </c>
    </row>
    <row r="15" spans="1:29" s="66" customFormat="1" ht="51.75" customHeight="1">
      <c r="A15" s="66">
        <v>10</v>
      </c>
      <c r="B15" s="89"/>
      <c r="C15" s="90" t="s">
        <v>440</v>
      </c>
      <c r="D15" s="56" t="s">
        <v>431</v>
      </c>
      <c r="E15" s="50" t="s">
        <v>441</v>
      </c>
      <c r="F15" s="132" t="s">
        <v>518</v>
      </c>
      <c r="G15" s="132"/>
      <c r="H15" s="132"/>
      <c r="I15" s="132"/>
      <c r="J15" s="132"/>
      <c r="K15" s="176"/>
      <c r="L15" s="33">
        <v>8310</v>
      </c>
      <c r="M15" s="34"/>
      <c r="N15" s="35"/>
      <c r="O15" s="35"/>
      <c r="P15" s="27">
        <v>8310</v>
      </c>
      <c r="Q15" s="155"/>
      <c r="R15" s="142" t="s">
        <v>828</v>
      </c>
      <c r="S15" s="66" t="s">
        <v>425</v>
      </c>
      <c r="T15" s="128">
        <f t="shared" si="0"/>
        <v>0</v>
      </c>
      <c r="Z15" s="25"/>
      <c r="AB15" s="210">
        <f t="shared" si="1"/>
        <v>0</v>
      </c>
      <c r="AC15" s="207" t="str">
        <f t="shared" si="2"/>
        <v>OK</v>
      </c>
    </row>
    <row r="16" spans="1:29" s="66" customFormat="1" ht="40.5" customHeight="1">
      <c r="A16" s="66">
        <v>11</v>
      </c>
      <c r="B16" s="89"/>
      <c r="C16" s="91"/>
      <c r="D16" s="50"/>
      <c r="E16" s="50" t="s">
        <v>432</v>
      </c>
      <c r="F16" s="132">
        <v>16777</v>
      </c>
      <c r="G16" s="132"/>
      <c r="H16" s="132"/>
      <c r="I16" s="132"/>
      <c r="J16" s="132"/>
      <c r="K16" s="176"/>
      <c r="L16" s="33">
        <v>10000</v>
      </c>
      <c r="M16" s="34"/>
      <c r="N16" s="35"/>
      <c r="O16" s="35"/>
      <c r="P16" s="27">
        <v>10000</v>
      </c>
      <c r="Q16" s="155"/>
      <c r="R16" s="142" t="s">
        <v>760</v>
      </c>
      <c r="S16" s="66" t="s">
        <v>425</v>
      </c>
      <c r="T16" s="128">
        <f t="shared" si="0"/>
        <v>0</v>
      </c>
      <c r="Z16" s="25"/>
      <c r="AB16" s="210">
        <f t="shared" si="1"/>
        <v>0</v>
      </c>
      <c r="AC16" s="207" t="str">
        <f t="shared" si="2"/>
        <v>OK</v>
      </c>
    </row>
    <row r="17" spans="1:29" s="66" customFormat="1" ht="40.5" customHeight="1">
      <c r="A17" s="66">
        <v>12</v>
      </c>
      <c r="B17" s="89"/>
      <c r="C17" s="91"/>
      <c r="D17" s="50" t="s">
        <v>19</v>
      </c>
      <c r="E17" s="50"/>
      <c r="F17" s="132">
        <v>2014372</v>
      </c>
      <c r="G17" s="132"/>
      <c r="H17" s="132"/>
      <c r="I17" s="132"/>
      <c r="J17" s="132"/>
      <c r="K17" s="176"/>
      <c r="L17" s="33">
        <v>953000</v>
      </c>
      <c r="M17" s="34"/>
      <c r="N17" s="35"/>
      <c r="O17" s="35"/>
      <c r="P17" s="27">
        <v>953000</v>
      </c>
      <c r="Q17" s="155"/>
      <c r="R17" s="142" t="s">
        <v>827</v>
      </c>
      <c r="S17" s="66" t="s">
        <v>425</v>
      </c>
      <c r="T17" s="128">
        <f t="shared" si="0"/>
        <v>0</v>
      </c>
      <c r="Z17" s="25"/>
      <c r="AB17" s="210">
        <f t="shared" si="1"/>
        <v>0</v>
      </c>
      <c r="AC17" s="207" t="str">
        <f t="shared" si="2"/>
        <v>OK</v>
      </c>
    </row>
    <row r="18" spans="1:29" s="66" customFormat="1" ht="40.5" customHeight="1">
      <c r="A18" s="66">
        <v>13</v>
      </c>
      <c r="B18" s="89"/>
      <c r="C18" s="91"/>
      <c r="D18" s="50" t="s">
        <v>470</v>
      </c>
      <c r="E18" s="50" t="s">
        <v>300</v>
      </c>
      <c r="F18" s="132" t="s">
        <v>442</v>
      </c>
      <c r="G18" s="132"/>
      <c r="H18" s="132"/>
      <c r="I18" s="132"/>
      <c r="J18" s="132"/>
      <c r="K18" s="176"/>
      <c r="L18" s="33">
        <v>500000</v>
      </c>
      <c r="M18" s="34"/>
      <c r="N18" s="35"/>
      <c r="O18" s="35"/>
      <c r="P18" s="27">
        <v>500000</v>
      </c>
      <c r="Q18" s="155"/>
      <c r="R18" s="142" t="s">
        <v>239</v>
      </c>
      <c r="S18" s="66" t="s">
        <v>425</v>
      </c>
      <c r="T18" s="128">
        <f t="shared" si="0"/>
        <v>0</v>
      </c>
      <c r="Z18" s="25"/>
      <c r="AB18" s="210">
        <f t="shared" si="1"/>
        <v>0</v>
      </c>
      <c r="AC18" s="207" t="str">
        <f t="shared" si="2"/>
        <v>OK</v>
      </c>
    </row>
    <row r="19" spans="1:29" s="66" customFormat="1" ht="40.5" customHeight="1">
      <c r="A19" s="66">
        <v>14</v>
      </c>
      <c r="B19" s="89"/>
      <c r="C19" s="93" t="s">
        <v>471</v>
      </c>
      <c r="D19" s="50" t="s">
        <v>471</v>
      </c>
      <c r="E19" s="50" t="s">
        <v>477</v>
      </c>
      <c r="F19" s="132">
        <v>4668</v>
      </c>
      <c r="G19" s="132"/>
      <c r="H19" s="132"/>
      <c r="I19" s="132"/>
      <c r="J19" s="132"/>
      <c r="K19" s="176"/>
      <c r="L19" s="33">
        <v>2500</v>
      </c>
      <c r="M19" s="34"/>
      <c r="N19" s="35"/>
      <c r="O19" s="35"/>
      <c r="P19" s="27">
        <v>2500</v>
      </c>
      <c r="Q19" s="155"/>
      <c r="R19" s="142" t="s">
        <v>760</v>
      </c>
      <c r="S19" s="66" t="s">
        <v>425</v>
      </c>
      <c r="T19" s="128">
        <f t="shared" si="0"/>
        <v>0</v>
      </c>
      <c r="Z19" s="25"/>
      <c r="AB19" s="210">
        <f t="shared" si="1"/>
        <v>0</v>
      </c>
      <c r="AC19" s="207" t="str">
        <f t="shared" si="2"/>
        <v>OK</v>
      </c>
    </row>
    <row r="20" spans="1:29" s="66" customFormat="1" ht="51" customHeight="1">
      <c r="A20" s="66">
        <v>15</v>
      </c>
      <c r="B20" s="89"/>
      <c r="C20" s="90" t="s">
        <v>463</v>
      </c>
      <c r="D20" s="50" t="s">
        <v>696</v>
      </c>
      <c r="E20" s="50" t="s">
        <v>300</v>
      </c>
      <c r="F20" s="132" t="s">
        <v>442</v>
      </c>
      <c r="G20" s="132"/>
      <c r="H20" s="132"/>
      <c r="I20" s="132"/>
      <c r="J20" s="132"/>
      <c r="K20" s="176"/>
      <c r="L20" s="33">
        <v>843186</v>
      </c>
      <c r="M20" s="34"/>
      <c r="N20" s="35"/>
      <c r="O20" s="35"/>
      <c r="P20" s="27">
        <v>843186</v>
      </c>
      <c r="Q20" s="155"/>
      <c r="R20" s="142"/>
      <c r="S20" s="66" t="s">
        <v>425</v>
      </c>
      <c r="T20" s="128">
        <f t="shared" si="0"/>
        <v>0</v>
      </c>
      <c r="Z20" s="25"/>
      <c r="AB20" s="210">
        <f t="shared" si="1"/>
        <v>0</v>
      </c>
      <c r="AC20" s="207" t="str">
        <f t="shared" si="2"/>
        <v>OK</v>
      </c>
    </row>
    <row r="21" spans="1:29" s="66" customFormat="1" ht="62.25" customHeight="1">
      <c r="A21" s="66">
        <v>16</v>
      </c>
      <c r="B21" s="89"/>
      <c r="C21" s="91" t="s">
        <v>680</v>
      </c>
      <c r="D21" s="56" t="s">
        <v>479</v>
      </c>
      <c r="E21" s="56" t="s">
        <v>480</v>
      </c>
      <c r="F21" s="133">
        <v>628533</v>
      </c>
      <c r="G21" s="133"/>
      <c r="H21" s="133"/>
      <c r="I21" s="133"/>
      <c r="J21" s="133"/>
      <c r="K21" s="107"/>
      <c r="L21" s="42">
        <v>50000</v>
      </c>
      <c r="M21" s="43"/>
      <c r="N21" s="44"/>
      <c r="O21" s="44"/>
      <c r="P21" s="45">
        <v>50000</v>
      </c>
      <c r="Q21" s="150"/>
      <c r="R21" s="143" t="s">
        <v>659</v>
      </c>
      <c r="S21" s="66" t="s">
        <v>425</v>
      </c>
      <c r="T21" s="128">
        <f t="shared" si="0"/>
        <v>0</v>
      </c>
      <c r="V21" s="25"/>
      <c r="AB21" s="210">
        <f t="shared" si="1"/>
        <v>0</v>
      </c>
      <c r="AC21" s="207" t="str">
        <f t="shared" si="2"/>
        <v>OK</v>
      </c>
    </row>
    <row r="22" spans="1:29" s="66" customFormat="1" ht="54.75" customHeight="1">
      <c r="A22" s="66">
        <v>17</v>
      </c>
      <c r="B22" s="89"/>
      <c r="C22" s="152"/>
      <c r="D22" s="38" t="s">
        <v>22</v>
      </c>
      <c r="E22" s="38" t="s">
        <v>426</v>
      </c>
      <c r="F22" s="131">
        <v>3144492</v>
      </c>
      <c r="G22" s="131"/>
      <c r="H22" s="131"/>
      <c r="I22" s="131"/>
      <c r="J22" s="131"/>
      <c r="K22" s="177"/>
      <c r="L22" s="26">
        <v>6337000</v>
      </c>
      <c r="M22" s="47"/>
      <c r="N22" s="48"/>
      <c r="O22" s="48"/>
      <c r="P22" s="49">
        <v>6337000</v>
      </c>
      <c r="Q22" s="149"/>
      <c r="R22" s="129" t="s">
        <v>496</v>
      </c>
      <c r="S22" s="66" t="s">
        <v>425</v>
      </c>
      <c r="T22" s="128">
        <f t="shared" si="0"/>
        <v>0</v>
      </c>
      <c r="V22" s="25"/>
      <c r="AB22" s="210">
        <f t="shared" si="1"/>
        <v>0</v>
      </c>
      <c r="AC22" s="207" t="str">
        <f t="shared" si="2"/>
        <v>OK</v>
      </c>
    </row>
    <row r="23" spans="1:29" s="66" customFormat="1" ht="54.75" customHeight="1" thickBot="1">
      <c r="A23" s="66">
        <v>18</v>
      </c>
      <c r="B23" s="89"/>
      <c r="C23" s="91" t="s">
        <v>697</v>
      </c>
      <c r="D23" s="38" t="s">
        <v>825</v>
      </c>
      <c r="E23" s="38"/>
      <c r="F23" s="177">
        <v>1014386</v>
      </c>
      <c r="G23" s="177"/>
      <c r="H23" s="177"/>
      <c r="I23" s="177"/>
      <c r="J23" s="177"/>
      <c r="K23" s="177"/>
      <c r="L23" s="385">
        <v>34000</v>
      </c>
      <c r="M23" s="119"/>
      <c r="N23" s="48"/>
      <c r="O23" s="48"/>
      <c r="P23" s="49">
        <v>34000</v>
      </c>
      <c r="Q23" s="149"/>
      <c r="R23" s="129" t="s">
        <v>826</v>
      </c>
      <c r="S23" s="66" t="s">
        <v>425</v>
      </c>
      <c r="T23" s="128">
        <f t="shared" si="0"/>
        <v>0</v>
      </c>
      <c r="V23" s="25"/>
      <c r="AB23" s="210">
        <f t="shared" si="1"/>
        <v>0</v>
      </c>
      <c r="AC23" s="207" t="str">
        <f t="shared" si="2"/>
        <v>OK</v>
      </c>
    </row>
    <row r="24" spans="2:29" s="127" customFormat="1" ht="30" customHeight="1" thickBot="1">
      <c r="B24" s="167"/>
      <c r="C24" s="69"/>
      <c r="D24" s="57"/>
      <c r="E24" s="57" t="s">
        <v>403</v>
      </c>
      <c r="F24" s="168">
        <f>SUM(F9:F23)</f>
        <v>13741790</v>
      </c>
      <c r="G24" s="168">
        <f aca="true" t="shared" si="5" ref="G24:P24">SUM(G9:G23)</f>
        <v>0</v>
      </c>
      <c r="H24" s="168">
        <f t="shared" si="5"/>
        <v>0</v>
      </c>
      <c r="I24" s="168">
        <f t="shared" si="5"/>
        <v>0</v>
      </c>
      <c r="J24" s="168">
        <f t="shared" si="5"/>
        <v>0</v>
      </c>
      <c r="K24" s="168">
        <f t="shared" si="5"/>
        <v>0</v>
      </c>
      <c r="L24" s="175">
        <f t="shared" si="5"/>
        <v>10391382</v>
      </c>
      <c r="M24" s="169">
        <f t="shared" si="5"/>
        <v>0</v>
      </c>
      <c r="N24" s="170">
        <f t="shared" si="5"/>
        <v>0</v>
      </c>
      <c r="O24" s="170">
        <f t="shared" si="5"/>
        <v>0</v>
      </c>
      <c r="P24" s="400">
        <f t="shared" si="5"/>
        <v>10391382</v>
      </c>
      <c r="Q24" s="171"/>
      <c r="R24" s="171"/>
      <c r="T24" s="128">
        <f t="shared" si="0"/>
        <v>0</v>
      </c>
      <c r="V24" s="175">
        <f aca="true" t="shared" si="6" ref="V24:AA24">SUM(V9:V23)</f>
        <v>0</v>
      </c>
      <c r="W24" s="175">
        <f t="shared" si="6"/>
        <v>0</v>
      </c>
      <c r="X24" s="175">
        <f t="shared" si="6"/>
        <v>0</v>
      </c>
      <c r="Y24" s="175">
        <f t="shared" si="6"/>
        <v>0</v>
      </c>
      <c r="Z24" s="175">
        <f t="shared" si="6"/>
        <v>0</v>
      </c>
      <c r="AA24" s="175">
        <f t="shared" si="6"/>
        <v>0</v>
      </c>
      <c r="AB24" s="210">
        <f t="shared" si="1"/>
        <v>0</v>
      </c>
      <c r="AC24" s="207" t="str">
        <f t="shared" si="2"/>
        <v>OK</v>
      </c>
    </row>
    <row r="25" spans="1:30" s="66" customFormat="1" ht="106.5" customHeight="1">
      <c r="A25" s="66">
        <v>19</v>
      </c>
      <c r="B25" s="89" t="s">
        <v>231</v>
      </c>
      <c r="C25" s="91" t="s">
        <v>675</v>
      </c>
      <c r="D25" s="50" t="s">
        <v>537</v>
      </c>
      <c r="E25" s="50" t="s">
        <v>538</v>
      </c>
      <c r="F25" s="132" t="s">
        <v>442</v>
      </c>
      <c r="G25" s="132"/>
      <c r="H25" s="132"/>
      <c r="I25" s="132"/>
      <c r="J25" s="132"/>
      <c r="K25" s="176"/>
      <c r="L25" s="33">
        <v>418117</v>
      </c>
      <c r="M25" s="34"/>
      <c r="N25" s="35">
        <v>418117</v>
      </c>
      <c r="O25" s="35"/>
      <c r="P25" s="27"/>
      <c r="Q25" s="155"/>
      <c r="R25" s="142" t="s">
        <v>539</v>
      </c>
      <c r="S25" s="66" t="s">
        <v>425</v>
      </c>
      <c r="T25" s="128">
        <f t="shared" si="0"/>
        <v>0</v>
      </c>
      <c r="Z25" s="66">
        <v>418117</v>
      </c>
      <c r="AB25" s="210">
        <f t="shared" si="1"/>
        <v>418117</v>
      </c>
      <c r="AC25" s="207" t="str">
        <f t="shared" si="2"/>
        <v>OK</v>
      </c>
      <c r="AD25" s="66">
        <v>418117</v>
      </c>
    </row>
    <row r="26" spans="1:29" s="66" customFormat="1" ht="54" customHeight="1">
      <c r="A26" s="66">
        <v>20</v>
      </c>
      <c r="B26" s="89"/>
      <c r="C26" s="91"/>
      <c r="D26" s="50" t="s">
        <v>504</v>
      </c>
      <c r="E26" s="50" t="s">
        <v>829</v>
      </c>
      <c r="F26" s="132">
        <v>5059</v>
      </c>
      <c r="G26" s="132"/>
      <c r="H26" s="132"/>
      <c r="I26" s="132"/>
      <c r="J26" s="132"/>
      <c r="K26" s="176"/>
      <c r="L26" s="33">
        <v>10000</v>
      </c>
      <c r="M26" s="34"/>
      <c r="N26" s="35"/>
      <c r="O26" s="35"/>
      <c r="P26" s="27">
        <v>10000</v>
      </c>
      <c r="Q26" s="155"/>
      <c r="R26" s="142" t="s">
        <v>242</v>
      </c>
      <c r="S26" s="66" t="s">
        <v>425</v>
      </c>
      <c r="T26" s="128">
        <f t="shared" si="0"/>
        <v>0</v>
      </c>
      <c r="AB26" s="210">
        <f t="shared" si="1"/>
        <v>0</v>
      </c>
      <c r="AC26" s="207" t="str">
        <f t="shared" si="2"/>
        <v>OK</v>
      </c>
    </row>
    <row r="27" spans="1:29" s="66" customFormat="1" ht="41.25" customHeight="1">
      <c r="A27" s="66">
        <v>21</v>
      </c>
      <c r="B27" s="89"/>
      <c r="C27" s="92"/>
      <c r="D27" s="50" t="s">
        <v>761</v>
      </c>
      <c r="E27" s="50" t="s">
        <v>97</v>
      </c>
      <c r="F27" s="132">
        <v>4708</v>
      </c>
      <c r="G27" s="132"/>
      <c r="H27" s="132"/>
      <c r="I27" s="132"/>
      <c r="J27" s="132"/>
      <c r="K27" s="176"/>
      <c r="L27" s="33">
        <v>5000</v>
      </c>
      <c r="M27" s="34"/>
      <c r="N27" s="35"/>
      <c r="O27" s="35"/>
      <c r="P27" s="27">
        <v>5000</v>
      </c>
      <c r="Q27" s="155"/>
      <c r="R27" s="142" t="s">
        <v>98</v>
      </c>
      <c r="S27" s="66" t="s">
        <v>425</v>
      </c>
      <c r="T27" s="128">
        <f t="shared" si="0"/>
        <v>0</v>
      </c>
      <c r="AB27" s="210">
        <f t="shared" si="1"/>
        <v>0</v>
      </c>
      <c r="AC27" s="207" t="str">
        <f t="shared" si="2"/>
        <v>OK</v>
      </c>
    </row>
    <row r="28" spans="1:29" s="66" customFormat="1" ht="42.75" customHeight="1">
      <c r="A28" s="66">
        <v>22</v>
      </c>
      <c r="B28" s="89"/>
      <c r="C28" s="90" t="s">
        <v>419</v>
      </c>
      <c r="D28" s="50" t="s">
        <v>800</v>
      </c>
      <c r="E28" s="50" t="s">
        <v>90</v>
      </c>
      <c r="F28" s="132">
        <v>45460</v>
      </c>
      <c r="G28" s="132"/>
      <c r="H28" s="132"/>
      <c r="I28" s="132"/>
      <c r="J28" s="132"/>
      <c r="K28" s="176"/>
      <c r="L28" s="33">
        <v>22730</v>
      </c>
      <c r="M28" s="34"/>
      <c r="N28" s="35"/>
      <c r="O28" s="35"/>
      <c r="P28" s="27">
        <v>22730</v>
      </c>
      <c r="Q28" s="155"/>
      <c r="R28" s="142" t="s">
        <v>830</v>
      </c>
      <c r="S28" s="66" t="s">
        <v>425</v>
      </c>
      <c r="T28" s="128">
        <f t="shared" si="0"/>
        <v>0</v>
      </c>
      <c r="Z28" s="62"/>
      <c r="AB28" s="210">
        <f t="shared" si="1"/>
        <v>0</v>
      </c>
      <c r="AC28" s="207" t="str">
        <f t="shared" si="2"/>
        <v>OK</v>
      </c>
    </row>
    <row r="29" spans="1:29" s="66" customFormat="1" ht="31.5" customHeight="1">
      <c r="A29" s="66">
        <v>23</v>
      </c>
      <c r="B29" s="89"/>
      <c r="C29" s="91"/>
      <c r="D29" s="51" t="s">
        <v>420</v>
      </c>
      <c r="E29" s="50" t="s">
        <v>509</v>
      </c>
      <c r="F29" s="132">
        <v>81046</v>
      </c>
      <c r="G29" s="132"/>
      <c r="H29" s="132"/>
      <c r="I29" s="132"/>
      <c r="J29" s="132"/>
      <c r="K29" s="176"/>
      <c r="L29" s="33">
        <v>11960</v>
      </c>
      <c r="M29" s="34"/>
      <c r="N29" s="35"/>
      <c r="O29" s="35"/>
      <c r="P29" s="27">
        <v>11960</v>
      </c>
      <c r="Q29" s="155"/>
      <c r="R29" s="142" t="s">
        <v>660</v>
      </c>
      <c r="S29" s="66" t="s">
        <v>425</v>
      </c>
      <c r="T29" s="128">
        <f t="shared" si="0"/>
        <v>0</v>
      </c>
      <c r="Z29" s="62"/>
      <c r="AB29" s="210">
        <f t="shared" si="1"/>
        <v>0</v>
      </c>
      <c r="AC29" s="207" t="str">
        <f t="shared" si="2"/>
        <v>OK</v>
      </c>
    </row>
    <row r="30" spans="1:29" s="66" customFormat="1" ht="38.25" customHeight="1">
      <c r="A30" s="66">
        <v>24</v>
      </c>
      <c r="B30" s="89"/>
      <c r="C30" s="178"/>
      <c r="D30" s="56"/>
      <c r="E30" s="50" t="s">
        <v>505</v>
      </c>
      <c r="F30" s="132" t="s">
        <v>442</v>
      </c>
      <c r="G30" s="132"/>
      <c r="H30" s="132"/>
      <c r="I30" s="132"/>
      <c r="J30" s="132"/>
      <c r="K30" s="176"/>
      <c r="L30" s="33">
        <v>50000</v>
      </c>
      <c r="M30" s="34"/>
      <c r="N30" s="35"/>
      <c r="O30" s="35"/>
      <c r="P30" s="27">
        <v>50000</v>
      </c>
      <c r="Q30" s="155"/>
      <c r="R30" s="142" t="s">
        <v>506</v>
      </c>
      <c r="S30" s="66" t="s">
        <v>425</v>
      </c>
      <c r="T30" s="128">
        <f t="shared" si="0"/>
        <v>0</v>
      </c>
      <c r="V30" s="25"/>
      <c r="AB30" s="210">
        <f t="shared" si="1"/>
        <v>0</v>
      </c>
      <c r="AC30" s="207" t="str">
        <f t="shared" si="2"/>
        <v>OK</v>
      </c>
    </row>
    <row r="31" spans="1:29" s="66" customFormat="1" ht="38.25" customHeight="1" thickBot="1">
      <c r="A31" s="66">
        <v>25</v>
      </c>
      <c r="B31" s="89"/>
      <c r="C31" s="152"/>
      <c r="D31" s="50"/>
      <c r="E31" s="38" t="s">
        <v>511</v>
      </c>
      <c r="F31" s="131">
        <v>774</v>
      </c>
      <c r="G31" s="131"/>
      <c r="H31" s="131"/>
      <c r="I31" s="131"/>
      <c r="J31" s="131"/>
      <c r="K31" s="177"/>
      <c r="L31" s="26">
        <v>9263</v>
      </c>
      <c r="M31" s="47"/>
      <c r="N31" s="47"/>
      <c r="O31" s="47"/>
      <c r="P31" s="49">
        <v>9263</v>
      </c>
      <c r="Q31" s="149"/>
      <c r="R31" s="129" t="s">
        <v>427</v>
      </c>
      <c r="S31" s="66" t="s">
        <v>425</v>
      </c>
      <c r="T31" s="128">
        <f t="shared" si="0"/>
        <v>0</v>
      </c>
      <c r="V31" s="25"/>
      <c r="AB31" s="210">
        <f t="shared" si="1"/>
        <v>0</v>
      </c>
      <c r="AC31" s="207" t="str">
        <f t="shared" si="2"/>
        <v>OK</v>
      </c>
    </row>
    <row r="32" spans="2:29" s="127" customFormat="1" ht="30" customHeight="1" thickBot="1">
      <c r="B32" s="167"/>
      <c r="C32" s="69"/>
      <c r="D32" s="57"/>
      <c r="E32" s="57" t="s">
        <v>403</v>
      </c>
      <c r="F32" s="401">
        <f>SUM(F25:F31)</f>
        <v>137047</v>
      </c>
      <c r="G32" s="168">
        <f aca="true" t="shared" si="7" ref="G32:P32">SUM(G25:G31)</f>
        <v>0</v>
      </c>
      <c r="H32" s="168">
        <f t="shared" si="7"/>
        <v>0</v>
      </c>
      <c r="I32" s="168">
        <f t="shared" si="7"/>
        <v>0</v>
      </c>
      <c r="J32" s="168">
        <f t="shared" si="7"/>
        <v>0</v>
      </c>
      <c r="K32" s="168">
        <f t="shared" si="7"/>
        <v>0</v>
      </c>
      <c r="L32" s="175">
        <f t="shared" si="7"/>
        <v>527070</v>
      </c>
      <c r="M32" s="169">
        <f t="shared" si="7"/>
        <v>0</v>
      </c>
      <c r="N32" s="170">
        <f t="shared" si="7"/>
        <v>418117</v>
      </c>
      <c r="O32" s="170">
        <f t="shared" si="7"/>
        <v>0</v>
      </c>
      <c r="P32" s="400">
        <f t="shared" si="7"/>
        <v>108953</v>
      </c>
      <c r="Q32" s="171"/>
      <c r="R32" s="171"/>
      <c r="T32" s="128">
        <f t="shared" si="0"/>
        <v>0</v>
      </c>
      <c r="V32" s="175">
        <f aca="true" t="shared" si="8" ref="V32:AA32">SUM(V31)</f>
        <v>0</v>
      </c>
      <c r="W32" s="175">
        <f t="shared" si="8"/>
        <v>0</v>
      </c>
      <c r="X32" s="175">
        <f t="shared" si="8"/>
        <v>0</v>
      </c>
      <c r="Y32" s="175">
        <f t="shared" si="8"/>
        <v>0</v>
      </c>
      <c r="Z32" s="175">
        <f t="shared" si="8"/>
        <v>0</v>
      </c>
      <c r="AA32" s="175">
        <f t="shared" si="8"/>
        <v>0</v>
      </c>
      <c r="AB32" s="210">
        <f t="shared" si="1"/>
        <v>0</v>
      </c>
      <c r="AC32" s="207" t="str">
        <f t="shared" si="2"/>
        <v>OUT</v>
      </c>
    </row>
    <row r="33" spans="1:29" s="66" customFormat="1" ht="50.25" customHeight="1">
      <c r="A33" s="66">
        <v>26</v>
      </c>
      <c r="B33" s="89" t="s">
        <v>196</v>
      </c>
      <c r="C33" s="91" t="s">
        <v>229</v>
      </c>
      <c r="D33" s="51" t="s">
        <v>228</v>
      </c>
      <c r="E33" s="50" t="s">
        <v>91</v>
      </c>
      <c r="F33" s="132" t="s">
        <v>442</v>
      </c>
      <c r="G33" s="132"/>
      <c r="H33" s="132"/>
      <c r="I33" s="132"/>
      <c r="J33" s="132"/>
      <c r="K33" s="176"/>
      <c r="L33" s="33">
        <v>2000</v>
      </c>
      <c r="M33" s="34"/>
      <c r="N33" s="35"/>
      <c r="O33" s="35"/>
      <c r="P33" s="27">
        <v>2000</v>
      </c>
      <c r="Q33" s="155"/>
      <c r="R33" s="142" t="s">
        <v>92</v>
      </c>
      <c r="S33" s="66" t="s">
        <v>425</v>
      </c>
      <c r="T33" s="128">
        <f t="shared" si="0"/>
        <v>0</v>
      </c>
      <c r="Z33" s="25"/>
      <c r="AA33" s="25"/>
      <c r="AB33" s="210">
        <f t="shared" si="1"/>
        <v>0</v>
      </c>
      <c r="AC33" s="207" t="str">
        <f t="shared" si="2"/>
        <v>OK</v>
      </c>
    </row>
    <row r="34" spans="1:29" s="66" customFormat="1" ht="48" customHeight="1" thickBot="1">
      <c r="A34" s="66">
        <v>27</v>
      </c>
      <c r="B34" s="99"/>
      <c r="C34" s="93" t="s">
        <v>795</v>
      </c>
      <c r="D34" s="38" t="s">
        <v>796</v>
      </c>
      <c r="E34" s="38" t="s">
        <v>797</v>
      </c>
      <c r="F34" s="131" t="s">
        <v>442</v>
      </c>
      <c r="G34" s="131"/>
      <c r="H34" s="131"/>
      <c r="I34" s="131"/>
      <c r="J34" s="131"/>
      <c r="K34" s="177"/>
      <c r="L34" s="26">
        <v>200000</v>
      </c>
      <c r="M34" s="47"/>
      <c r="N34" s="48"/>
      <c r="O34" s="48"/>
      <c r="P34" s="49">
        <v>200000</v>
      </c>
      <c r="Q34" s="149"/>
      <c r="R34" s="129" t="s">
        <v>837</v>
      </c>
      <c r="S34" s="66" t="s">
        <v>425</v>
      </c>
      <c r="T34" s="128">
        <f t="shared" si="0"/>
        <v>0</v>
      </c>
      <c r="AB34" s="210">
        <f t="shared" si="1"/>
        <v>0</v>
      </c>
      <c r="AC34" s="207" t="str">
        <f t="shared" si="2"/>
        <v>OK</v>
      </c>
    </row>
    <row r="35" spans="2:29" s="127" customFormat="1" ht="30" customHeight="1" thickBot="1">
      <c r="B35" s="167"/>
      <c r="C35" s="69"/>
      <c r="D35" s="57"/>
      <c r="E35" s="57" t="s">
        <v>403</v>
      </c>
      <c r="F35" s="168">
        <f>SUM(F33:F34)</f>
        <v>0</v>
      </c>
      <c r="G35" s="168">
        <f aca="true" t="shared" si="9" ref="G35:P35">SUM(G33:G34)</f>
        <v>0</v>
      </c>
      <c r="H35" s="168">
        <f t="shared" si="9"/>
        <v>0</v>
      </c>
      <c r="I35" s="168">
        <f t="shared" si="9"/>
        <v>0</v>
      </c>
      <c r="J35" s="168">
        <f t="shared" si="9"/>
        <v>0</v>
      </c>
      <c r="K35" s="168">
        <f t="shared" si="9"/>
        <v>0</v>
      </c>
      <c r="L35" s="175">
        <f t="shared" si="9"/>
        <v>202000</v>
      </c>
      <c r="M35" s="169">
        <f t="shared" si="9"/>
        <v>0</v>
      </c>
      <c r="N35" s="170">
        <f t="shared" si="9"/>
        <v>0</v>
      </c>
      <c r="O35" s="170">
        <f t="shared" si="9"/>
        <v>0</v>
      </c>
      <c r="P35" s="164">
        <f t="shared" si="9"/>
        <v>202000</v>
      </c>
      <c r="Q35" s="171"/>
      <c r="R35" s="171"/>
      <c r="T35" s="128">
        <f t="shared" si="0"/>
        <v>0</v>
      </c>
      <c r="V35" s="175">
        <f aca="true" t="shared" si="10" ref="V35:AA35">SUM(V34)</f>
        <v>0</v>
      </c>
      <c r="W35" s="175">
        <f t="shared" si="10"/>
        <v>0</v>
      </c>
      <c r="X35" s="175">
        <f t="shared" si="10"/>
        <v>0</v>
      </c>
      <c r="Y35" s="175">
        <f t="shared" si="10"/>
        <v>0</v>
      </c>
      <c r="Z35" s="175">
        <f t="shared" si="10"/>
        <v>0</v>
      </c>
      <c r="AA35" s="175">
        <f t="shared" si="10"/>
        <v>0</v>
      </c>
      <c r="AB35" s="210">
        <f t="shared" si="1"/>
        <v>0</v>
      </c>
      <c r="AC35" s="207" t="str">
        <f t="shared" si="2"/>
        <v>OK</v>
      </c>
    </row>
    <row r="36" spans="1:29" s="66" customFormat="1" ht="55.5" customHeight="1">
      <c r="A36" s="66">
        <v>28</v>
      </c>
      <c r="B36" s="151" t="s">
        <v>406</v>
      </c>
      <c r="C36" s="98" t="s">
        <v>832</v>
      </c>
      <c r="D36" s="180" t="s">
        <v>833</v>
      </c>
      <c r="E36" s="180"/>
      <c r="F36" s="181">
        <v>127503</v>
      </c>
      <c r="G36" s="181"/>
      <c r="H36" s="181"/>
      <c r="I36" s="181"/>
      <c r="J36" s="181"/>
      <c r="K36" s="182"/>
      <c r="L36" s="230">
        <v>14334</v>
      </c>
      <c r="M36" s="242"/>
      <c r="N36" s="206"/>
      <c r="O36" s="206"/>
      <c r="P36" s="194">
        <v>14334</v>
      </c>
      <c r="Q36" s="173"/>
      <c r="R36" s="126" t="s">
        <v>821</v>
      </c>
      <c r="S36" s="66" t="s">
        <v>425</v>
      </c>
      <c r="T36" s="128">
        <f t="shared" si="0"/>
        <v>0</v>
      </c>
      <c r="V36" s="62"/>
      <c r="W36" s="62"/>
      <c r="X36" s="62"/>
      <c r="Y36" s="62"/>
      <c r="Z36" s="62"/>
      <c r="AA36" s="62"/>
      <c r="AB36" s="210">
        <f t="shared" si="1"/>
        <v>0</v>
      </c>
      <c r="AC36" s="207" t="str">
        <f t="shared" si="2"/>
        <v>OK</v>
      </c>
    </row>
    <row r="37" spans="1:29" s="66" customFormat="1" ht="55.5" customHeight="1">
      <c r="A37" s="66">
        <v>29</v>
      </c>
      <c r="B37" s="402"/>
      <c r="C37" s="92"/>
      <c r="D37" s="50" t="s">
        <v>834</v>
      </c>
      <c r="E37" s="50"/>
      <c r="F37" s="132">
        <v>4916</v>
      </c>
      <c r="G37" s="132"/>
      <c r="H37" s="132"/>
      <c r="I37" s="132"/>
      <c r="J37" s="132"/>
      <c r="K37" s="176"/>
      <c r="L37" s="33">
        <v>1000</v>
      </c>
      <c r="M37" s="340"/>
      <c r="N37" s="35"/>
      <c r="O37" s="35"/>
      <c r="P37" s="27">
        <v>1000</v>
      </c>
      <c r="Q37" s="155"/>
      <c r="R37" s="142" t="s">
        <v>760</v>
      </c>
      <c r="S37" s="66" t="s">
        <v>425</v>
      </c>
      <c r="T37" s="128">
        <f aca="true" t="shared" si="11" ref="T37:T60">L37-M37-N37-O37-P37</f>
        <v>0</v>
      </c>
      <c r="V37" s="62"/>
      <c r="W37" s="62"/>
      <c r="X37" s="62"/>
      <c r="Y37" s="62"/>
      <c r="Z37" s="62"/>
      <c r="AA37" s="62"/>
      <c r="AB37" s="210">
        <f aca="true" t="shared" si="12" ref="AB37:AB59">SUM(V37:AA37)</f>
        <v>0</v>
      </c>
      <c r="AC37" s="207" t="str">
        <f aca="true" t="shared" si="13" ref="AC37:AC55">IF(N37=AB37,"OK","OUT")</f>
        <v>OK</v>
      </c>
    </row>
    <row r="38" spans="1:29" s="66" customFormat="1" ht="42" customHeight="1" thickBot="1">
      <c r="A38" s="66">
        <v>30</v>
      </c>
      <c r="B38" s="99"/>
      <c r="C38" s="94" t="s">
        <v>764</v>
      </c>
      <c r="D38" s="38"/>
      <c r="E38" s="50" t="s">
        <v>765</v>
      </c>
      <c r="F38" s="132" t="s">
        <v>442</v>
      </c>
      <c r="K38" s="118" t="e">
        <f>#REF!-#REF!-#REF!-#REF!-#REF!</f>
        <v>#REF!</v>
      </c>
      <c r="L38" s="33">
        <v>6000</v>
      </c>
      <c r="M38" s="34"/>
      <c r="N38" s="35"/>
      <c r="O38" s="35"/>
      <c r="P38" s="27">
        <v>6000</v>
      </c>
      <c r="Q38" s="155"/>
      <c r="R38" s="142" t="s">
        <v>766</v>
      </c>
      <c r="S38" s="66" t="s">
        <v>425</v>
      </c>
      <c r="T38" s="128">
        <f t="shared" si="11"/>
        <v>0</v>
      </c>
      <c r="V38" s="48"/>
      <c r="W38" s="156"/>
      <c r="X38" s="156"/>
      <c r="Y38" s="156"/>
      <c r="Z38" s="156"/>
      <c r="AA38" s="156"/>
      <c r="AB38" s="210">
        <f t="shared" si="12"/>
        <v>0</v>
      </c>
      <c r="AC38" s="207" t="str">
        <f t="shared" si="13"/>
        <v>OK</v>
      </c>
    </row>
    <row r="39" spans="2:29" s="127" customFormat="1" ht="30" customHeight="1" thickBot="1">
      <c r="B39" s="167"/>
      <c r="C39" s="69"/>
      <c r="D39" s="57"/>
      <c r="E39" s="57" t="s">
        <v>403</v>
      </c>
      <c r="F39" s="168">
        <f>SUM(F36:F38)</f>
        <v>132419</v>
      </c>
      <c r="G39" s="168">
        <f aca="true" t="shared" si="14" ref="G39:P39">SUM(G36:G38)</f>
        <v>0</v>
      </c>
      <c r="H39" s="168">
        <f t="shared" si="14"/>
        <v>0</v>
      </c>
      <c r="I39" s="168">
        <f t="shared" si="14"/>
        <v>0</v>
      </c>
      <c r="J39" s="168">
        <f t="shared" si="14"/>
        <v>0</v>
      </c>
      <c r="K39" s="168" t="e">
        <f t="shared" si="14"/>
        <v>#REF!</v>
      </c>
      <c r="L39" s="175">
        <f t="shared" si="14"/>
        <v>21334</v>
      </c>
      <c r="M39" s="169">
        <f t="shared" si="14"/>
        <v>0</v>
      </c>
      <c r="N39" s="170">
        <f t="shared" si="14"/>
        <v>0</v>
      </c>
      <c r="O39" s="170">
        <f t="shared" si="14"/>
        <v>0</v>
      </c>
      <c r="P39" s="164">
        <f t="shared" si="14"/>
        <v>21334</v>
      </c>
      <c r="Q39" s="171"/>
      <c r="R39" s="171"/>
      <c r="T39" s="128">
        <f t="shared" si="11"/>
        <v>0</v>
      </c>
      <c r="V39" s="175">
        <f aca="true" t="shared" si="15" ref="V39:AA39">SUM(V38)</f>
        <v>0</v>
      </c>
      <c r="W39" s="175">
        <f t="shared" si="15"/>
        <v>0</v>
      </c>
      <c r="X39" s="175">
        <f t="shared" si="15"/>
        <v>0</v>
      </c>
      <c r="Y39" s="175">
        <f t="shared" si="15"/>
        <v>0</v>
      </c>
      <c r="Z39" s="175">
        <f t="shared" si="15"/>
        <v>0</v>
      </c>
      <c r="AA39" s="175">
        <f t="shared" si="15"/>
        <v>0</v>
      </c>
      <c r="AB39" s="210">
        <f t="shared" si="12"/>
        <v>0</v>
      </c>
      <c r="AC39" s="207" t="str">
        <f t="shared" si="13"/>
        <v>OK</v>
      </c>
    </row>
    <row r="40" spans="1:29" s="66" customFormat="1" ht="31.5" customHeight="1" thickBot="1">
      <c r="A40" s="66">
        <v>31</v>
      </c>
      <c r="B40" s="89" t="s">
        <v>169</v>
      </c>
      <c r="C40" s="90" t="s">
        <v>768</v>
      </c>
      <c r="D40" s="51" t="s">
        <v>769</v>
      </c>
      <c r="E40" s="38" t="s">
        <v>770</v>
      </c>
      <c r="F40" s="131" t="s">
        <v>442</v>
      </c>
      <c r="G40" s="131"/>
      <c r="H40" s="131"/>
      <c r="I40" s="131"/>
      <c r="J40" s="131"/>
      <c r="K40" s="118" t="e">
        <f>F40-G40-H40-I40-J40</f>
        <v>#VALUE!</v>
      </c>
      <c r="L40" s="26">
        <v>5000</v>
      </c>
      <c r="M40" s="47"/>
      <c r="N40" s="48"/>
      <c r="O40" s="48"/>
      <c r="P40" s="49">
        <v>5000</v>
      </c>
      <c r="Q40" s="149"/>
      <c r="R40" s="129"/>
      <c r="S40" s="66" t="s">
        <v>771</v>
      </c>
      <c r="T40" s="128">
        <f t="shared" si="11"/>
        <v>0</v>
      </c>
      <c r="AB40" s="210">
        <f t="shared" si="12"/>
        <v>0</v>
      </c>
      <c r="AC40" s="207" t="str">
        <f t="shared" si="13"/>
        <v>OK</v>
      </c>
    </row>
    <row r="41" spans="2:29" s="127" customFormat="1" ht="30" customHeight="1" thickBot="1">
      <c r="B41" s="167"/>
      <c r="C41" s="69"/>
      <c r="D41" s="57"/>
      <c r="E41" s="57" t="s">
        <v>403</v>
      </c>
      <c r="F41" s="168">
        <f>SUM(F40)</f>
        <v>0</v>
      </c>
      <c r="G41" s="168"/>
      <c r="H41" s="168"/>
      <c r="I41" s="168"/>
      <c r="J41" s="168"/>
      <c r="K41" s="168"/>
      <c r="L41" s="175">
        <f>SUM(L40)</f>
        <v>5000</v>
      </c>
      <c r="M41" s="169"/>
      <c r="N41" s="170"/>
      <c r="O41" s="170"/>
      <c r="P41" s="164">
        <f>SUM(P40)</f>
        <v>5000</v>
      </c>
      <c r="Q41" s="171"/>
      <c r="R41" s="171"/>
      <c r="T41" s="128">
        <f t="shared" si="11"/>
        <v>0</v>
      </c>
      <c r="V41" s="175">
        <f aca="true" t="shared" si="16" ref="V41:AA41">SUM(V40)</f>
        <v>0</v>
      </c>
      <c r="W41" s="175">
        <f t="shared" si="16"/>
        <v>0</v>
      </c>
      <c r="X41" s="175">
        <f t="shared" si="16"/>
        <v>0</v>
      </c>
      <c r="Y41" s="175">
        <f t="shared" si="16"/>
        <v>0</v>
      </c>
      <c r="Z41" s="175">
        <f t="shared" si="16"/>
        <v>0</v>
      </c>
      <c r="AA41" s="175">
        <f t="shared" si="16"/>
        <v>0</v>
      </c>
      <c r="AB41" s="210">
        <f t="shared" si="12"/>
        <v>0</v>
      </c>
      <c r="AC41" s="207" t="str">
        <f t="shared" si="13"/>
        <v>OK</v>
      </c>
    </row>
    <row r="42" spans="1:29" s="66" customFormat="1" ht="50.25" customHeight="1">
      <c r="A42" s="66">
        <v>32</v>
      </c>
      <c r="B42" s="89" t="s">
        <v>285</v>
      </c>
      <c r="C42" s="92" t="s">
        <v>378</v>
      </c>
      <c r="D42" s="38" t="s">
        <v>749</v>
      </c>
      <c r="E42" s="38"/>
      <c r="F42" s="131" t="s">
        <v>442</v>
      </c>
      <c r="G42" s="131"/>
      <c r="H42" s="131"/>
      <c r="I42" s="131"/>
      <c r="J42" s="131"/>
      <c r="K42" s="118" t="e">
        <f>F42-G42-H42-I42-J42</f>
        <v>#VALUE!</v>
      </c>
      <c r="L42" s="26">
        <v>2000</v>
      </c>
      <c r="M42" s="47"/>
      <c r="N42" s="48"/>
      <c r="O42" s="48"/>
      <c r="P42" s="49">
        <v>2000</v>
      </c>
      <c r="Q42" s="149"/>
      <c r="R42" s="129" t="s">
        <v>758</v>
      </c>
      <c r="S42" s="66" t="s">
        <v>425</v>
      </c>
      <c r="T42" s="128">
        <f t="shared" si="11"/>
        <v>0</v>
      </c>
      <c r="AB42" s="210">
        <f t="shared" si="12"/>
        <v>0</v>
      </c>
      <c r="AC42" s="207" t="str">
        <f t="shared" si="13"/>
        <v>OK</v>
      </c>
    </row>
    <row r="43" spans="1:29" s="66" customFormat="1" ht="50.25" customHeight="1">
      <c r="A43" s="127">
        <v>33</v>
      </c>
      <c r="B43" s="99"/>
      <c r="C43" s="93" t="s">
        <v>379</v>
      </c>
      <c r="D43" s="38" t="s">
        <v>522</v>
      </c>
      <c r="E43" s="38" t="s">
        <v>523</v>
      </c>
      <c r="F43" s="131">
        <v>371263</v>
      </c>
      <c r="K43" s="118">
        <f>F43-G43-H43-I43-J43</f>
        <v>371263</v>
      </c>
      <c r="L43" s="26">
        <v>90000</v>
      </c>
      <c r="M43" s="47"/>
      <c r="N43" s="48"/>
      <c r="O43" s="48"/>
      <c r="P43" s="49">
        <v>90000</v>
      </c>
      <c r="Q43" s="149"/>
      <c r="R43" s="129" t="s">
        <v>297</v>
      </c>
      <c r="S43" s="66" t="s">
        <v>425</v>
      </c>
      <c r="T43" s="128">
        <f t="shared" si="11"/>
        <v>0</v>
      </c>
      <c r="V43" s="25"/>
      <c r="AB43" s="210">
        <f t="shared" si="12"/>
        <v>0</v>
      </c>
      <c r="AC43" s="207" t="str">
        <f t="shared" si="13"/>
        <v>OK</v>
      </c>
    </row>
    <row r="44" spans="1:30" s="66" customFormat="1" ht="58.5" customHeight="1">
      <c r="A44" s="66">
        <v>34</v>
      </c>
      <c r="B44" s="99"/>
      <c r="C44" s="91" t="s">
        <v>671</v>
      </c>
      <c r="D44" s="51" t="s">
        <v>704</v>
      </c>
      <c r="E44" s="51" t="s">
        <v>777</v>
      </c>
      <c r="F44" s="134">
        <v>309315</v>
      </c>
      <c r="G44" s="134"/>
      <c r="H44" s="134"/>
      <c r="I44" s="134"/>
      <c r="J44" s="134"/>
      <c r="K44" s="118">
        <f>F44-G44-H44-I44-J44</f>
        <v>309315</v>
      </c>
      <c r="L44" s="30">
        <v>100000</v>
      </c>
      <c r="M44" s="52"/>
      <c r="N44" s="53">
        <v>100000</v>
      </c>
      <c r="O44" s="53"/>
      <c r="P44" s="36"/>
      <c r="Q44" s="67"/>
      <c r="R44" s="145" t="s">
        <v>48</v>
      </c>
      <c r="S44" s="66" t="s">
        <v>425</v>
      </c>
      <c r="T44" s="128">
        <f t="shared" si="11"/>
        <v>0</v>
      </c>
      <c r="V44" s="209"/>
      <c r="W44" s="209"/>
      <c r="X44" s="209"/>
      <c r="Y44" s="209"/>
      <c r="Z44" s="53">
        <v>100000</v>
      </c>
      <c r="AA44" s="209"/>
      <c r="AB44" s="210">
        <f t="shared" si="12"/>
        <v>100000</v>
      </c>
      <c r="AC44" s="207" t="str">
        <f t="shared" si="13"/>
        <v>OK</v>
      </c>
      <c r="AD44" s="53">
        <v>100000</v>
      </c>
    </row>
    <row r="45" spans="1:30" s="66" customFormat="1" ht="48" customHeight="1">
      <c r="A45" s="127">
        <v>35</v>
      </c>
      <c r="B45" s="99"/>
      <c r="C45" s="90" t="s">
        <v>27</v>
      </c>
      <c r="D45" s="51" t="s">
        <v>622</v>
      </c>
      <c r="E45" s="51" t="s">
        <v>672</v>
      </c>
      <c r="F45" s="134" t="s">
        <v>442</v>
      </c>
      <c r="G45" s="134"/>
      <c r="H45" s="134"/>
      <c r="I45" s="134"/>
      <c r="J45" s="134"/>
      <c r="K45" s="118" t="e">
        <f>F45-G45-H45-I45-J45</f>
        <v>#VALUE!</v>
      </c>
      <c r="L45" s="30">
        <v>150000</v>
      </c>
      <c r="M45" s="52"/>
      <c r="N45" s="53">
        <v>150000</v>
      </c>
      <c r="O45" s="53"/>
      <c r="P45" s="36"/>
      <c r="Q45" s="67"/>
      <c r="R45" s="145" t="s">
        <v>50</v>
      </c>
      <c r="S45" s="66" t="s">
        <v>425</v>
      </c>
      <c r="T45" s="128">
        <f t="shared" si="11"/>
        <v>0</v>
      </c>
      <c r="V45" s="209"/>
      <c r="W45" s="209"/>
      <c r="X45" s="209"/>
      <c r="Y45" s="209"/>
      <c r="Z45" s="53">
        <v>150000</v>
      </c>
      <c r="AA45" s="209"/>
      <c r="AB45" s="210">
        <f t="shared" si="12"/>
        <v>150000</v>
      </c>
      <c r="AC45" s="207" t="str">
        <f t="shared" si="13"/>
        <v>OK</v>
      </c>
      <c r="AD45" s="53">
        <v>150000</v>
      </c>
    </row>
    <row r="46" spans="1:30" s="66" customFormat="1" ht="55.5" customHeight="1" thickBot="1">
      <c r="A46" s="66">
        <v>36</v>
      </c>
      <c r="B46" s="99"/>
      <c r="D46" s="51" t="s">
        <v>746</v>
      </c>
      <c r="E46" s="51"/>
      <c r="F46" s="134">
        <v>268820</v>
      </c>
      <c r="G46" s="134"/>
      <c r="H46" s="134"/>
      <c r="I46" s="134"/>
      <c r="J46" s="134"/>
      <c r="K46" s="118">
        <f>F46-G46-H46-I46-J46</f>
        <v>268820</v>
      </c>
      <c r="L46" s="30">
        <v>150000</v>
      </c>
      <c r="M46" s="52"/>
      <c r="N46" s="53">
        <v>150000</v>
      </c>
      <c r="O46" s="53"/>
      <c r="P46" s="36"/>
      <c r="Q46" s="67"/>
      <c r="R46" s="145" t="s">
        <v>49</v>
      </c>
      <c r="S46" s="66" t="s">
        <v>425</v>
      </c>
      <c r="T46" s="128">
        <f t="shared" si="11"/>
        <v>0</v>
      </c>
      <c r="V46" s="209"/>
      <c r="W46" s="209"/>
      <c r="X46" s="209"/>
      <c r="Y46" s="209"/>
      <c r="Z46" s="53">
        <v>150000</v>
      </c>
      <c r="AA46" s="209"/>
      <c r="AB46" s="210">
        <f t="shared" si="12"/>
        <v>150000</v>
      </c>
      <c r="AC46" s="207" t="str">
        <f t="shared" si="13"/>
        <v>OK</v>
      </c>
      <c r="AD46" s="53">
        <v>150000</v>
      </c>
    </row>
    <row r="47" spans="2:29" s="127" customFormat="1" ht="30" customHeight="1" thickBot="1">
      <c r="B47" s="167"/>
      <c r="C47" s="69"/>
      <c r="D47" s="57"/>
      <c r="E47" s="57" t="s">
        <v>403</v>
      </c>
      <c r="F47" s="168">
        <f>SUM(F42:F46)</f>
        <v>949398</v>
      </c>
      <c r="G47" s="168">
        <f aca="true" t="shared" si="17" ref="G47:P47">SUM(G42:G46)</f>
        <v>0</v>
      </c>
      <c r="H47" s="168">
        <f t="shared" si="17"/>
        <v>0</v>
      </c>
      <c r="I47" s="168">
        <f t="shared" si="17"/>
        <v>0</v>
      </c>
      <c r="J47" s="168">
        <f t="shared" si="17"/>
        <v>0</v>
      </c>
      <c r="K47" s="168" t="e">
        <f t="shared" si="17"/>
        <v>#VALUE!</v>
      </c>
      <c r="L47" s="175">
        <f t="shared" si="17"/>
        <v>492000</v>
      </c>
      <c r="M47" s="169">
        <f t="shared" si="17"/>
        <v>0</v>
      </c>
      <c r="N47" s="170">
        <f t="shared" si="17"/>
        <v>400000</v>
      </c>
      <c r="O47" s="170">
        <f t="shared" si="17"/>
        <v>0</v>
      </c>
      <c r="P47" s="164">
        <f t="shared" si="17"/>
        <v>92000</v>
      </c>
      <c r="Q47" s="171"/>
      <c r="R47" s="171"/>
      <c r="T47" s="128">
        <f t="shared" si="11"/>
        <v>0</v>
      </c>
      <c r="V47" s="175">
        <f aca="true" t="shared" si="18" ref="V47:AA47">SUM(V46)</f>
        <v>0</v>
      </c>
      <c r="W47" s="175">
        <f t="shared" si="18"/>
        <v>0</v>
      </c>
      <c r="X47" s="175">
        <f t="shared" si="18"/>
        <v>0</v>
      </c>
      <c r="Y47" s="175">
        <f t="shared" si="18"/>
        <v>0</v>
      </c>
      <c r="Z47" s="175">
        <f t="shared" si="18"/>
        <v>150000</v>
      </c>
      <c r="AA47" s="175">
        <f t="shared" si="18"/>
        <v>0</v>
      </c>
      <c r="AB47" s="210">
        <f t="shared" si="12"/>
        <v>150000</v>
      </c>
      <c r="AC47" s="207" t="str">
        <f t="shared" si="13"/>
        <v>OUT</v>
      </c>
    </row>
    <row r="48" spans="1:29" s="66" customFormat="1" ht="38.25" customHeight="1" thickBot="1">
      <c r="A48" s="66">
        <v>37</v>
      </c>
      <c r="B48" s="89" t="s">
        <v>416</v>
      </c>
      <c r="C48" s="93" t="s">
        <v>536</v>
      </c>
      <c r="D48" s="38" t="s">
        <v>536</v>
      </c>
      <c r="E48" s="38" t="s">
        <v>569</v>
      </c>
      <c r="F48" s="131">
        <v>957373</v>
      </c>
      <c r="G48" s="131"/>
      <c r="H48" s="131"/>
      <c r="I48" s="131"/>
      <c r="J48" s="131"/>
      <c r="K48" s="118">
        <f>F48-G48-H48-I48-J48</f>
        <v>957373</v>
      </c>
      <c r="L48" s="26">
        <v>37559</v>
      </c>
      <c r="M48" s="47"/>
      <c r="N48" s="48"/>
      <c r="O48" s="48"/>
      <c r="P48" s="49">
        <v>37559</v>
      </c>
      <c r="Q48" s="149"/>
      <c r="R48" s="129" t="s">
        <v>570</v>
      </c>
      <c r="S48" s="66" t="s">
        <v>425</v>
      </c>
      <c r="T48" s="128">
        <f t="shared" si="11"/>
        <v>0</v>
      </c>
      <c r="V48" s="25"/>
      <c r="AB48" s="210">
        <f t="shared" si="12"/>
        <v>0</v>
      </c>
      <c r="AC48" s="207" t="str">
        <f t="shared" si="13"/>
        <v>OK</v>
      </c>
    </row>
    <row r="49" spans="2:29" s="127" customFormat="1" ht="30" customHeight="1" thickBot="1">
      <c r="B49" s="167"/>
      <c r="C49" s="69"/>
      <c r="D49" s="57"/>
      <c r="E49" s="57" t="s">
        <v>403</v>
      </c>
      <c r="F49" s="168">
        <f>SUM(F48)</f>
        <v>957373</v>
      </c>
      <c r="G49" s="168"/>
      <c r="H49" s="168"/>
      <c r="I49" s="168"/>
      <c r="J49" s="168"/>
      <c r="K49" s="168"/>
      <c r="L49" s="175">
        <f>SUM(L48)</f>
        <v>37559</v>
      </c>
      <c r="M49" s="169"/>
      <c r="N49" s="170"/>
      <c r="O49" s="170"/>
      <c r="P49" s="164">
        <f>SUM(P48)</f>
        <v>37559</v>
      </c>
      <c r="Q49" s="171"/>
      <c r="R49" s="171"/>
      <c r="T49" s="128">
        <f t="shared" si="11"/>
        <v>0</v>
      </c>
      <c r="V49" s="175">
        <f aca="true" t="shared" si="19" ref="V49:AA49">SUM(V48)</f>
        <v>0</v>
      </c>
      <c r="W49" s="175">
        <f t="shared" si="19"/>
        <v>0</v>
      </c>
      <c r="X49" s="175">
        <f t="shared" si="19"/>
        <v>0</v>
      </c>
      <c r="Y49" s="175">
        <f t="shared" si="19"/>
        <v>0</v>
      </c>
      <c r="Z49" s="175">
        <f t="shared" si="19"/>
        <v>0</v>
      </c>
      <c r="AA49" s="175">
        <f t="shared" si="19"/>
        <v>0</v>
      </c>
      <c r="AB49" s="210">
        <f t="shared" si="12"/>
        <v>0</v>
      </c>
      <c r="AC49" s="207" t="str">
        <f t="shared" si="13"/>
        <v>OK</v>
      </c>
    </row>
    <row r="50" spans="1:29" s="66" customFormat="1" ht="50.25" customHeight="1">
      <c r="A50" s="66">
        <v>38</v>
      </c>
      <c r="B50" s="88" t="s">
        <v>415</v>
      </c>
      <c r="C50" s="217" t="s">
        <v>423</v>
      </c>
      <c r="D50" s="56" t="s">
        <v>380</v>
      </c>
      <c r="E50" s="38" t="s">
        <v>576</v>
      </c>
      <c r="F50" s="131">
        <v>92400</v>
      </c>
      <c r="G50" s="131"/>
      <c r="H50" s="131"/>
      <c r="I50" s="131"/>
      <c r="J50" s="131"/>
      <c r="K50" s="118">
        <f>F50-G50-H50-I50-J50</f>
        <v>92400</v>
      </c>
      <c r="L50" s="177">
        <v>92400</v>
      </c>
      <c r="M50" s="190"/>
      <c r="N50" s="187"/>
      <c r="O50" s="187"/>
      <c r="P50" s="188">
        <v>92400</v>
      </c>
      <c r="Q50" s="189"/>
      <c r="R50" s="129" t="s">
        <v>863</v>
      </c>
      <c r="S50" s="66" t="s">
        <v>425</v>
      </c>
      <c r="T50" s="128">
        <f t="shared" si="11"/>
        <v>0</v>
      </c>
      <c r="AB50" s="210">
        <f t="shared" si="12"/>
        <v>0</v>
      </c>
      <c r="AC50" s="207" t="str">
        <f t="shared" si="13"/>
        <v>OK</v>
      </c>
    </row>
    <row r="51" spans="1:30" s="66" customFormat="1" ht="52.5" customHeight="1">
      <c r="A51" s="127">
        <v>39</v>
      </c>
      <c r="B51" s="89"/>
      <c r="C51" s="217"/>
      <c r="D51" s="38" t="s">
        <v>753</v>
      </c>
      <c r="E51" s="38" t="s">
        <v>767</v>
      </c>
      <c r="F51" s="131">
        <v>1849128</v>
      </c>
      <c r="G51" s="131"/>
      <c r="H51" s="131"/>
      <c r="I51" s="131"/>
      <c r="J51" s="131"/>
      <c r="K51" s="118">
        <f>F51-G51-H51-I51-J51</f>
        <v>1849128</v>
      </c>
      <c r="L51" s="177">
        <v>7762</v>
      </c>
      <c r="M51" s="190"/>
      <c r="N51" s="187"/>
      <c r="O51" s="187"/>
      <c r="P51" s="188">
        <v>7762</v>
      </c>
      <c r="Q51" s="189"/>
      <c r="R51" s="129" t="s">
        <v>0</v>
      </c>
      <c r="S51" s="66" t="s">
        <v>425</v>
      </c>
      <c r="T51" s="128">
        <f t="shared" si="11"/>
        <v>0</v>
      </c>
      <c r="AB51" s="210">
        <f t="shared" si="12"/>
        <v>0</v>
      </c>
      <c r="AC51" s="207" t="str">
        <f t="shared" si="13"/>
        <v>OK</v>
      </c>
      <c r="AD51" s="25"/>
    </row>
    <row r="52" spans="1:30" s="66" customFormat="1" ht="42" customHeight="1">
      <c r="A52" s="66">
        <v>40</v>
      </c>
      <c r="B52" s="89"/>
      <c r="C52" s="218" t="s">
        <v>234</v>
      </c>
      <c r="D52" s="38" t="s">
        <v>236</v>
      </c>
      <c r="E52" s="38" t="s">
        <v>64</v>
      </c>
      <c r="F52" s="131">
        <v>158619628</v>
      </c>
      <c r="G52" s="131"/>
      <c r="H52" s="131"/>
      <c r="I52" s="131"/>
      <c r="J52" s="131"/>
      <c r="K52" s="118">
        <v>158619628</v>
      </c>
      <c r="L52" s="26">
        <v>740000</v>
      </c>
      <c r="M52" s="47"/>
      <c r="N52" s="48"/>
      <c r="O52" s="48"/>
      <c r="P52" s="49">
        <v>740000</v>
      </c>
      <c r="Q52" s="149"/>
      <c r="R52" s="129" t="s">
        <v>2</v>
      </c>
      <c r="S52" s="66" t="s">
        <v>425</v>
      </c>
      <c r="T52" s="128">
        <f t="shared" si="11"/>
        <v>0</v>
      </c>
      <c r="AA52" s="25"/>
      <c r="AB52" s="210">
        <f t="shared" si="12"/>
        <v>0</v>
      </c>
      <c r="AC52" s="207" t="str">
        <f t="shared" si="13"/>
        <v>OK</v>
      </c>
      <c r="AD52" s="25"/>
    </row>
    <row r="53" spans="1:30" s="66" customFormat="1" ht="98.25" customHeight="1">
      <c r="A53" s="127">
        <v>41</v>
      </c>
      <c r="B53" s="89"/>
      <c r="C53" s="218" t="s">
        <v>593</v>
      </c>
      <c r="D53" s="38" t="s">
        <v>594</v>
      </c>
      <c r="E53" s="38" t="s">
        <v>595</v>
      </c>
      <c r="F53" s="131">
        <v>99299563</v>
      </c>
      <c r="G53" s="131"/>
      <c r="H53" s="131"/>
      <c r="I53" s="131"/>
      <c r="J53" s="131"/>
      <c r="K53" s="118">
        <f>F53-G53-H53-I53-J53</f>
        <v>99299563</v>
      </c>
      <c r="L53" s="26">
        <v>100000</v>
      </c>
      <c r="M53" s="47"/>
      <c r="N53" s="48">
        <v>100000</v>
      </c>
      <c r="O53" s="48"/>
      <c r="P53" s="49"/>
      <c r="Q53" s="149"/>
      <c r="R53" s="129" t="s">
        <v>791</v>
      </c>
      <c r="S53" s="66" t="s">
        <v>425</v>
      </c>
      <c r="T53" s="128">
        <f t="shared" si="11"/>
        <v>0</v>
      </c>
      <c r="Z53" s="48">
        <v>100000</v>
      </c>
      <c r="AA53" s="25"/>
      <c r="AB53" s="210">
        <f t="shared" si="12"/>
        <v>100000</v>
      </c>
      <c r="AC53" s="207" t="str">
        <f t="shared" si="13"/>
        <v>OK</v>
      </c>
      <c r="AD53" s="48">
        <v>100000</v>
      </c>
    </row>
    <row r="54" spans="1:30" s="66" customFormat="1" ht="42" customHeight="1">
      <c r="A54" s="66">
        <v>42</v>
      </c>
      <c r="B54" s="89"/>
      <c r="C54" s="93" t="s">
        <v>3</v>
      </c>
      <c r="D54" s="38" t="s">
        <v>4</v>
      </c>
      <c r="E54" s="38" t="s">
        <v>540</v>
      </c>
      <c r="F54" s="131">
        <v>27788207</v>
      </c>
      <c r="G54" s="131"/>
      <c r="H54" s="131"/>
      <c r="I54" s="131"/>
      <c r="J54" s="131"/>
      <c r="K54" s="118">
        <f>F54-G54-H54-I54-J54</f>
        <v>27788207</v>
      </c>
      <c r="L54" s="26">
        <v>9000</v>
      </c>
      <c r="M54" s="47"/>
      <c r="N54" s="48"/>
      <c r="O54" s="48"/>
      <c r="P54" s="49">
        <v>9000</v>
      </c>
      <c r="Q54" s="149"/>
      <c r="R54" s="129" t="s">
        <v>541</v>
      </c>
      <c r="S54" s="66" t="s">
        <v>425</v>
      </c>
      <c r="T54" s="128">
        <f t="shared" si="11"/>
        <v>0</v>
      </c>
      <c r="Z54" s="62"/>
      <c r="AA54" s="25"/>
      <c r="AB54" s="210">
        <f t="shared" si="12"/>
        <v>0</v>
      </c>
      <c r="AC54" s="207" t="str">
        <f t="shared" si="13"/>
        <v>OK</v>
      </c>
      <c r="AD54" s="62"/>
    </row>
    <row r="55" spans="1:30" s="66" customFormat="1" ht="42.75" customHeight="1">
      <c r="A55" s="127">
        <v>43</v>
      </c>
      <c r="B55" s="89"/>
      <c r="C55" s="219" t="s">
        <v>676</v>
      </c>
      <c r="D55" s="51" t="s">
        <v>132</v>
      </c>
      <c r="E55" s="38" t="s">
        <v>677</v>
      </c>
      <c r="F55" s="131" t="s">
        <v>442</v>
      </c>
      <c r="G55" s="131"/>
      <c r="H55" s="131"/>
      <c r="I55" s="131"/>
      <c r="J55" s="131"/>
      <c r="K55" s="118"/>
      <c r="L55" s="26">
        <v>150000</v>
      </c>
      <c r="M55" s="47"/>
      <c r="N55" s="48">
        <v>150000</v>
      </c>
      <c r="O55" s="48"/>
      <c r="P55" s="49"/>
      <c r="Q55" s="149"/>
      <c r="R55" s="129" t="s">
        <v>47</v>
      </c>
      <c r="S55" s="66" t="s">
        <v>425</v>
      </c>
      <c r="T55" s="128">
        <f t="shared" si="11"/>
        <v>0</v>
      </c>
      <c r="Z55" s="48">
        <v>150000</v>
      </c>
      <c r="AA55" s="48"/>
      <c r="AB55" s="210">
        <f t="shared" si="12"/>
        <v>150000</v>
      </c>
      <c r="AC55" s="207" t="str">
        <f t="shared" si="13"/>
        <v>OK</v>
      </c>
      <c r="AD55" s="48">
        <v>150000</v>
      </c>
    </row>
    <row r="56" spans="1:30" s="66" customFormat="1" ht="63" customHeight="1">
      <c r="A56" s="66">
        <v>44</v>
      </c>
      <c r="B56" s="89"/>
      <c r="C56" s="217"/>
      <c r="D56" s="56"/>
      <c r="E56" s="38" t="s">
        <v>459</v>
      </c>
      <c r="F56" s="131">
        <v>25199386</v>
      </c>
      <c r="G56" s="131"/>
      <c r="H56" s="131"/>
      <c r="I56" s="131"/>
      <c r="J56" s="131"/>
      <c r="K56" s="118"/>
      <c r="L56" s="26">
        <v>85738</v>
      </c>
      <c r="M56" s="47"/>
      <c r="N56" s="48"/>
      <c r="O56" s="48"/>
      <c r="P56" s="49">
        <v>85738</v>
      </c>
      <c r="Q56" s="149"/>
      <c r="R56" s="129" t="s">
        <v>460</v>
      </c>
      <c r="S56" s="66" t="s">
        <v>425</v>
      </c>
      <c r="T56" s="128">
        <f t="shared" si="11"/>
        <v>0</v>
      </c>
      <c r="Z56" s="62"/>
      <c r="AA56" s="62"/>
      <c r="AB56" s="210">
        <f t="shared" si="12"/>
        <v>0</v>
      </c>
      <c r="AC56" s="207"/>
      <c r="AD56" s="62"/>
    </row>
    <row r="57" spans="1:30" s="66" customFormat="1" ht="62.25" customHeight="1">
      <c r="A57" s="127">
        <v>45</v>
      </c>
      <c r="B57" s="89"/>
      <c r="C57" s="220"/>
      <c r="D57" s="50"/>
      <c r="E57" s="38" t="s">
        <v>294</v>
      </c>
      <c r="F57" s="131">
        <v>1214413</v>
      </c>
      <c r="G57" s="131"/>
      <c r="H57" s="131"/>
      <c r="I57" s="131"/>
      <c r="J57" s="131"/>
      <c r="K57" s="118">
        <f>F57-G57-H57-I57-J57</f>
        <v>1214413</v>
      </c>
      <c r="L57" s="26">
        <v>120000</v>
      </c>
      <c r="M57" s="47"/>
      <c r="N57" s="48"/>
      <c r="O57" s="48"/>
      <c r="P57" s="49">
        <v>120000</v>
      </c>
      <c r="Q57" s="149"/>
      <c r="R57" s="129" t="s">
        <v>461</v>
      </c>
      <c r="S57" s="66" t="s">
        <v>425</v>
      </c>
      <c r="T57" s="128">
        <f t="shared" si="11"/>
        <v>0</v>
      </c>
      <c r="Z57" s="62"/>
      <c r="AA57" s="62"/>
      <c r="AB57" s="210">
        <f t="shared" si="12"/>
        <v>0</v>
      </c>
      <c r="AC57" s="207" t="str">
        <f>IF(N57=AB57,"OK","OUT")</f>
        <v>OK</v>
      </c>
      <c r="AD57" s="62"/>
    </row>
    <row r="58" spans="1:29" s="66" customFormat="1" ht="69.75" customHeight="1" thickBot="1">
      <c r="A58" s="66">
        <v>46</v>
      </c>
      <c r="B58" s="99"/>
      <c r="C58" s="219" t="s">
        <v>424</v>
      </c>
      <c r="D58" s="38" t="s">
        <v>804</v>
      </c>
      <c r="E58" s="51" t="s">
        <v>20</v>
      </c>
      <c r="F58" s="134" t="s">
        <v>442</v>
      </c>
      <c r="G58" s="134"/>
      <c r="H58" s="134"/>
      <c r="I58" s="134"/>
      <c r="J58" s="134"/>
      <c r="K58" s="118" t="e">
        <f>F58-G58-H58-I58-J58</f>
        <v>#VALUE!</v>
      </c>
      <c r="L58" s="30">
        <v>5000</v>
      </c>
      <c r="M58" s="52"/>
      <c r="N58" s="53"/>
      <c r="O58" s="53"/>
      <c r="P58" s="36">
        <v>5000</v>
      </c>
      <c r="Q58" s="67"/>
      <c r="R58" s="145" t="s">
        <v>25</v>
      </c>
      <c r="S58" s="66" t="s">
        <v>425</v>
      </c>
      <c r="T58" s="128">
        <f t="shared" si="11"/>
        <v>0</v>
      </c>
      <c r="AB58" s="210">
        <f t="shared" si="12"/>
        <v>0</v>
      </c>
      <c r="AC58" s="207" t="str">
        <f>IF(N58=AB58,"OK","OUT")</f>
        <v>OK</v>
      </c>
    </row>
    <row r="59" spans="2:29" s="127" customFormat="1" ht="30" customHeight="1" thickBot="1">
      <c r="B59" s="167"/>
      <c r="C59" s="69"/>
      <c r="D59" s="57"/>
      <c r="E59" s="57" t="s">
        <v>403</v>
      </c>
      <c r="F59" s="168">
        <f>SUM(F50:F58)</f>
        <v>314062725</v>
      </c>
      <c r="G59" s="168">
        <f aca="true" t="shared" si="20" ref="G59:P59">SUM(G50:G58)</f>
        <v>0</v>
      </c>
      <c r="H59" s="168">
        <f t="shared" si="20"/>
        <v>0</v>
      </c>
      <c r="I59" s="168">
        <f t="shared" si="20"/>
        <v>0</v>
      </c>
      <c r="J59" s="168">
        <f t="shared" si="20"/>
        <v>0</v>
      </c>
      <c r="K59" s="168" t="e">
        <f t="shared" si="20"/>
        <v>#VALUE!</v>
      </c>
      <c r="L59" s="175">
        <f t="shared" si="20"/>
        <v>1309900</v>
      </c>
      <c r="M59" s="169">
        <f t="shared" si="20"/>
        <v>0</v>
      </c>
      <c r="N59" s="170">
        <f t="shared" si="20"/>
        <v>250000</v>
      </c>
      <c r="O59" s="170">
        <f t="shared" si="20"/>
        <v>0</v>
      </c>
      <c r="P59" s="164">
        <f t="shared" si="20"/>
        <v>1059900</v>
      </c>
      <c r="Q59" s="171"/>
      <c r="R59" s="171"/>
      <c r="T59" s="128">
        <f t="shared" si="11"/>
        <v>0</v>
      </c>
      <c r="V59" s="175">
        <f aca="true" t="shared" si="21" ref="V59:AA59">SUM(V58)</f>
        <v>0</v>
      </c>
      <c r="W59" s="175">
        <f t="shared" si="21"/>
        <v>0</v>
      </c>
      <c r="X59" s="175">
        <f t="shared" si="21"/>
        <v>0</v>
      </c>
      <c r="Y59" s="175">
        <f t="shared" si="21"/>
        <v>0</v>
      </c>
      <c r="Z59" s="175">
        <f t="shared" si="21"/>
        <v>0</v>
      </c>
      <c r="AA59" s="175">
        <f t="shared" si="21"/>
        <v>0</v>
      </c>
      <c r="AB59" s="210">
        <f t="shared" si="12"/>
        <v>0</v>
      </c>
      <c r="AC59" s="207" t="str">
        <f>IF(N59=AB59,"OK","OUT")</f>
        <v>OUT</v>
      </c>
    </row>
    <row r="60" spans="2:30" s="66" customFormat="1" ht="31.5" customHeight="1" thickBot="1">
      <c r="B60" s="109"/>
      <c r="C60" s="65"/>
      <c r="D60" s="65"/>
      <c r="E60" s="138" t="s">
        <v>156</v>
      </c>
      <c r="F60" s="212">
        <f>F8+F24+F32+F35+F39+F41+F47+F49+F59</f>
        <v>329983721</v>
      </c>
      <c r="G60" s="111">
        <f aca="true" t="shared" si="22" ref="G60:P60">G8+G24+G32+G35+G39+G41+G47+G49+G59</f>
        <v>0</v>
      </c>
      <c r="H60" s="111">
        <f t="shared" si="22"/>
        <v>0</v>
      </c>
      <c r="I60" s="111">
        <f t="shared" si="22"/>
        <v>0</v>
      </c>
      <c r="J60" s="111">
        <f t="shared" si="22"/>
        <v>0</v>
      </c>
      <c r="K60" s="369" t="e">
        <f t="shared" si="22"/>
        <v>#REF!</v>
      </c>
      <c r="L60" s="31">
        <f t="shared" si="22"/>
        <v>13020884</v>
      </c>
      <c r="M60" s="110">
        <f t="shared" si="22"/>
        <v>0</v>
      </c>
      <c r="N60" s="111">
        <f t="shared" si="22"/>
        <v>1090187</v>
      </c>
      <c r="O60" s="111">
        <f t="shared" si="22"/>
        <v>0</v>
      </c>
      <c r="P60" s="111">
        <f t="shared" si="22"/>
        <v>11930697</v>
      </c>
      <c r="Q60" s="112"/>
      <c r="R60" s="87"/>
      <c r="T60" s="128">
        <f t="shared" si="11"/>
        <v>0</v>
      </c>
      <c r="V60" s="111" t="e">
        <f>#REF!+#REF!+#REF!+#REF!+#REF!+#REF!+#REF!+V37+V40+V58+V59</f>
        <v>#REF!</v>
      </c>
      <c r="W60" s="111" t="e">
        <f>#REF!+#REF!+#REF!+#REF!+#REF!+#REF!+#REF!+W37+W40+W58+W59</f>
        <v>#REF!</v>
      </c>
      <c r="X60" s="111" t="e">
        <f>#REF!+#REF!+#REF!+#REF!+#REF!+#REF!+#REF!+X37+X40+X58+X59</f>
        <v>#REF!</v>
      </c>
      <c r="Y60" s="111" t="e">
        <f>#REF!+#REF!+#REF!+#REF!+#REF!+#REF!+#REF!+Y37+Y40+Y58+Y59</f>
        <v>#REF!</v>
      </c>
      <c r="Z60" s="111" t="e">
        <f>#REF!+#REF!+#REF!+#REF!+#REF!+#REF!+#REF!+Z37+Z40+Z58+Z59</f>
        <v>#REF!</v>
      </c>
      <c r="AA60" s="111" t="e">
        <f>#REF!+#REF!+#REF!+#REF!+#REF!+#REF!+#REF!+AA37+AA40+AA58+AA59</f>
        <v>#REF!</v>
      </c>
      <c r="AB60" s="111" t="e">
        <f>#REF!+#REF!+#REF!+#REF!+#REF!+#REF!+#REF!+AB37+AB40+AB58+AB59</f>
        <v>#REF!</v>
      </c>
      <c r="AC60" s="207" t="e">
        <f>IF(N60=AB60,"OK","OUT")</f>
        <v>#REF!</v>
      </c>
      <c r="AD60" s="66" t="e">
        <f>SUM(#REF!)</f>
        <v>#REF!</v>
      </c>
    </row>
  </sheetData>
  <mergeCells count="2">
    <mergeCell ref="G3:J3"/>
    <mergeCell ref="M3:P3"/>
  </mergeCells>
  <printOptions/>
  <pageMargins left="0.46" right="0.23" top="0.36" bottom="0.42" header="0.29" footer="0.26"/>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E149"/>
  <sheetViews>
    <sheetView workbookViewId="0" topLeftCell="A134">
      <selection activeCell="B143" sqref="B143:E143"/>
    </sheetView>
  </sheetViews>
  <sheetFormatPr defaultColWidth="9.00390625" defaultRowHeight="13.5"/>
  <cols>
    <col min="1" max="1" width="5.00390625" style="66" customWidth="1"/>
    <col min="2" max="2" width="2.625" style="66" customWidth="1"/>
    <col min="3" max="3" width="4.875" style="66" customWidth="1"/>
    <col min="4" max="4" width="7.50390625" style="66" customWidth="1"/>
    <col min="5" max="5" width="11.00390625" style="66" customWidth="1"/>
    <col min="6" max="6" width="11.125" style="66" customWidth="1"/>
    <col min="7" max="7" width="9.75390625" style="66" hidden="1" customWidth="1"/>
    <col min="8" max="8" width="9.375" style="66" hidden="1" customWidth="1"/>
    <col min="9" max="9" width="10.00390625" style="66" hidden="1" customWidth="1"/>
    <col min="10" max="10" width="10.625" style="66" hidden="1" customWidth="1"/>
    <col min="11" max="11" width="0.875" style="66" hidden="1" customWidth="1"/>
    <col min="12" max="16" width="11.125" style="66" customWidth="1"/>
    <col min="17" max="17" width="4.25390625" style="66" hidden="1" customWidth="1"/>
    <col min="18" max="18" width="6.125" style="66" customWidth="1"/>
    <col min="19" max="19" width="12.75390625" style="147" customWidth="1"/>
    <col min="20" max="20" width="2.75390625" style="66" customWidth="1"/>
    <col min="21" max="21" width="10.25390625" style="66" customWidth="1"/>
    <col min="22" max="22" width="3.25390625" style="66" customWidth="1"/>
    <col min="23" max="23" width="15.75390625" style="66" customWidth="1"/>
    <col min="24" max="24" width="16.125" style="66" customWidth="1"/>
    <col min="25" max="26" width="10.125" style="66" customWidth="1"/>
    <col min="27" max="27" width="15.25390625" style="66" customWidth="1"/>
    <col min="28" max="29" width="11.125" style="66" customWidth="1"/>
    <col min="30" max="30" width="18.125" style="66" customWidth="1"/>
    <col min="31" max="31" width="13.875" style="66" customWidth="1"/>
    <col min="32" max="16384" width="9.00390625" style="66" customWidth="1"/>
  </cols>
  <sheetData>
    <row r="1" spans="3:19" ht="17.25" customHeight="1">
      <c r="C1" s="73"/>
      <c r="D1" s="74" t="s">
        <v>158</v>
      </c>
      <c r="E1" s="75" t="s">
        <v>607</v>
      </c>
      <c r="F1" s="75"/>
      <c r="G1" s="75"/>
      <c r="H1" s="75"/>
      <c r="I1" s="75"/>
      <c r="J1" s="75"/>
      <c r="K1" s="75"/>
      <c r="L1" s="76"/>
      <c r="N1" s="76"/>
      <c r="O1" s="76"/>
      <c r="P1" s="77" t="s">
        <v>123</v>
      </c>
      <c r="Q1" s="77"/>
      <c r="R1" s="77"/>
      <c r="S1" s="141"/>
    </row>
    <row r="2" spans="3:19" ht="24" customHeight="1" thickBot="1">
      <c r="C2" s="73"/>
      <c r="D2" s="73"/>
      <c r="L2" s="78" t="s">
        <v>122</v>
      </c>
      <c r="N2" s="79"/>
      <c r="O2" s="378"/>
      <c r="P2" s="80"/>
      <c r="Q2" s="81"/>
      <c r="R2" s="81"/>
      <c r="S2" s="141"/>
    </row>
    <row r="3" spans="2:31" ht="21.75" customHeight="1">
      <c r="B3" s="82" t="s">
        <v>138</v>
      </c>
      <c r="C3" s="83" t="s">
        <v>157</v>
      </c>
      <c r="D3" s="84" t="s">
        <v>435</v>
      </c>
      <c r="E3" s="136" t="s">
        <v>120</v>
      </c>
      <c r="F3" s="223" t="s">
        <v>119</v>
      </c>
      <c r="G3" s="879" t="s">
        <v>720</v>
      </c>
      <c r="H3" s="852"/>
      <c r="I3" s="852"/>
      <c r="J3" s="853"/>
      <c r="K3" s="395"/>
      <c r="L3" s="225" t="s">
        <v>118</v>
      </c>
      <c r="M3" s="879" t="s">
        <v>117</v>
      </c>
      <c r="N3" s="852"/>
      <c r="O3" s="852"/>
      <c r="P3" s="853"/>
      <c r="Q3" s="85" t="s">
        <v>763</v>
      </c>
      <c r="R3" s="84"/>
      <c r="S3" s="86" t="s">
        <v>116</v>
      </c>
      <c r="U3" s="28" t="s">
        <v>803</v>
      </c>
      <c r="W3" s="127" t="s">
        <v>140</v>
      </c>
      <c r="X3" s="127" t="s">
        <v>142</v>
      </c>
      <c r="Y3" s="127" t="s">
        <v>681</v>
      </c>
      <c r="Z3" s="127" t="s">
        <v>288</v>
      </c>
      <c r="AA3" s="127" t="s">
        <v>778</v>
      </c>
      <c r="AB3" s="127" t="s">
        <v>683</v>
      </c>
      <c r="AC3" s="127"/>
      <c r="AD3" s="127" t="s">
        <v>802</v>
      </c>
      <c r="AE3" s="127" t="s">
        <v>42</v>
      </c>
    </row>
    <row r="4" spans="2:19" ht="21.75" customHeight="1" thickBot="1">
      <c r="B4" s="122"/>
      <c r="C4" s="123"/>
      <c r="D4" s="124"/>
      <c r="E4" s="137"/>
      <c r="F4" s="227" t="s">
        <v>814</v>
      </c>
      <c r="G4" s="200" t="s">
        <v>115</v>
      </c>
      <c r="H4" s="201" t="s">
        <v>114</v>
      </c>
      <c r="I4" s="201" t="s">
        <v>113</v>
      </c>
      <c r="J4" s="202" t="s">
        <v>112</v>
      </c>
      <c r="K4" s="396" t="s">
        <v>661</v>
      </c>
      <c r="L4" s="228"/>
      <c r="M4" s="200" t="s">
        <v>115</v>
      </c>
      <c r="N4" s="201" t="s">
        <v>114</v>
      </c>
      <c r="O4" s="201" t="s">
        <v>113</v>
      </c>
      <c r="P4" s="202" t="s">
        <v>112</v>
      </c>
      <c r="Q4" s="125"/>
      <c r="R4" s="124"/>
      <c r="S4" s="87"/>
    </row>
    <row r="5" spans="1:30" s="127" customFormat="1" ht="60" customHeight="1" thickBot="1">
      <c r="A5" s="127">
        <v>1</v>
      </c>
      <c r="B5" s="151" t="s">
        <v>65</v>
      </c>
      <c r="C5" s="148" t="s">
        <v>65</v>
      </c>
      <c r="D5" s="37" t="s">
        <v>66</v>
      </c>
      <c r="E5" s="56" t="s">
        <v>67</v>
      </c>
      <c r="F5" s="159">
        <v>20000</v>
      </c>
      <c r="G5" s="159"/>
      <c r="H5" s="159"/>
      <c r="I5" s="159"/>
      <c r="J5" s="159"/>
      <c r="K5" s="159"/>
      <c r="L5" s="174">
        <v>-10000</v>
      </c>
      <c r="M5" s="162"/>
      <c r="N5" s="163"/>
      <c r="O5" s="163"/>
      <c r="P5" s="164">
        <v>-10000</v>
      </c>
      <c r="Q5" s="165"/>
      <c r="R5" s="166"/>
      <c r="S5" s="126" t="s">
        <v>608</v>
      </c>
      <c r="T5" s="127" t="s">
        <v>421</v>
      </c>
      <c r="U5" s="128">
        <f aca="true" t="shared" si="0" ref="U5:U36">L5-M5-N5-O5-P5</f>
        <v>0</v>
      </c>
      <c r="AC5" s="210">
        <f aca="true" t="shared" si="1" ref="AC5:AC36">SUM(W5:AB5)</f>
        <v>0</v>
      </c>
      <c r="AD5" s="207" t="str">
        <f aca="true" t="shared" si="2" ref="AD5:AD36">IF(N5=AC5,"OK","OUT")</f>
        <v>OK</v>
      </c>
    </row>
    <row r="6" spans="2:30" s="127" customFormat="1" ht="30" customHeight="1" thickBot="1">
      <c r="B6" s="167"/>
      <c r="C6" s="69"/>
      <c r="D6" s="57"/>
      <c r="E6" s="57" t="s">
        <v>403</v>
      </c>
      <c r="F6" s="168">
        <f>SUM(F5)</f>
        <v>20000</v>
      </c>
      <c r="G6" s="168"/>
      <c r="H6" s="168"/>
      <c r="I6" s="168"/>
      <c r="J6" s="168"/>
      <c r="K6" s="168"/>
      <c r="L6" s="175">
        <f>SUM(L5)</f>
        <v>-10000</v>
      </c>
      <c r="M6" s="169"/>
      <c r="N6" s="170"/>
      <c r="O6" s="170"/>
      <c r="P6" s="164">
        <f>SUM(P5)</f>
        <v>-10000</v>
      </c>
      <c r="Q6" s="172"/>
      <c r="R6" s="171"/>
      <c r="S6" s="171"/>
      <c r="U6" s="128">
        <f t="shared" si="0"/>
        <v>0</v>
      </c>
      <c r="W6" s="175">
        <f aca="true" t="shared" si="3" ref="W6:AB6">SUM(W5)</f>
        <v>0</v>
      </c>
      <c r="X6" s="175">
        <f t="shared" si="3"/>
        <v>0</v>
      </c>
      <c r="Y6" s="175">
        <f t="shared" si="3"/>
        <v>0</v>
      </c>
      <c r="Z6" s="175">
        <f t="shared" si="3"/>
        <v>0</v>
      </c>
      <c r="AA6" s="175">
        <f t="shared" si="3"/>
        <v>0</v>
      </c>
      <c r="AB6" s="175">
        <f t="shared" si="3"/>
        <v>0</v>
      </c>
      <c r="AC6" s="210">
        <f t="shared" si="1"/>
        <v>0</v>
      </c>
      <c r="AD6" s="207" t="str">
        <f t="shared" si="2"/>
        <v>OK</v>
      </c>
    </row>
    <row r="7" spans="1:30" s="127" customFormat="1" ht="36" customHeight="1">
      <c r="A7" s="127">
        <v>2</v>
      </c>
      <c r="B7" s="819" t="s">
        <v>11</v>
      </c>
      <c r="C7" s="158" t="s">
        <v>12</v>
      </c>
      <c r="D7" s="50" t="s">
        <v>13</v>
      </c>
      <c r="E7" s="50" t="s">
        <v>14</v>
      </c>
      <c r="F7" s="235">
        <v>42638</v>
      </c>
      <c r="G7" s="235"/>
      <c r="H7" s="235"/>
      <c r="I7" s="235">
        <v>5600000</v>
      </c>
      <c r="J7" s="235">
        <v>4730000</v>
      </c>
      <c r="K7" s="235"/>
      <c r="L7" s="381">
        <v>-36998</v>
      </c>
      <c r="M7" s="382"/>
      <c r="N7" s="237"/>
      <c r="O7" s="397"/>
      <c r="P7" s="238">
        <v>-36998</v>
      </c>
      <c r="Q7" s="383"/>
      <c r="R7" s="384"/>
      <c r="S7" s="142" t="s">
        <v>15</v>
      </c>
      <c r="T7" s="127" t="s">
        <v>421</v>
      </c>
      <c r="U7" s="128">
        <f t="shared" si="0"/>
        <v>0</v>
      </c>
      <c r="W7" s="380"/>
      <c r="X7" s="380"/>
      <c r="Y7" s="380"/>
      <c r="Z7" s="380"/>
      <c r="AA7" s="380"/>
      <c r="AB7" s="380"/>
      <c r="AC7" s="210">
        <f t="shared" si="1"/>
        <v>0</v>
      </c>
      <c r="AD7" s="207" t="str">
        <f t="shared" si="2"/>
        <v>OK</v>
      </c>
    </row>
    <row r="8" spans="1:30" ht="45" customHeight="1">
      <c r="A8" s="66">
        <v>3</v>
      </c>
      <c r="B8" s="820"/>
      <c r="C8" s="158" t="s">
        <v>717</v>
      </c>
      <c r="D8" s="50" t="s">
        <v>718</v>
      </c>
      <c r="E8" s="50"/>
      <c r="F8" s="132">
        <v>705223</v>
      </c>
      <c r="G8" s="132"/>
      <c r="H8" s="132">
        <v>122086</v>
      </c>
      <c r="I8" s="132"/>
      <c r="J8" s="132">
        <v>583137</v>
      </c>
      <c r="K8" s="176"/>
      <c r="L8" s="33">
        <v>-141044</v>
      </c>
      <c r="M8" s="34"/>
      <c r="N8" s="35">
        <v>-24417</v>
      </c>
      <c r="O8" s="35">
        <v>0</v>
      </c>
      <c r="P8" s="155">
        <v>-116627</v>
      </c>
      <c r="Q8" s="118"/>
      <c r="R8" s="155"/>
      <c r="S8" s="142" t="s">
        <v>729</v>
      </c>
      <c r="T8" s="66" t="s">
        <v>421</v>
      </c>
      <c r="U8" s="128">
        <f t="shared" si="0"/>
        <v>0</v>
      </c>
      <c r="AB8" s="35">
        <v>-24417</v>
      </c>
      <c r="AC8" s="210">
        <f t="shared" si="1"/>
        <v>-24417</v>
      </c>
      <c r="AD8" s="207" t="str">
        <f t="shared" si="2"/>
        <v>OK</v>
      </c>
    </row>
    <row r="9" spans="1:30" ht="54.75" customHeight="1">
      <c r="A9" s="127">
        <v>4</v>
      </c>
      <c r="B9" s="89"/>
      <c r="C9" s="94" t="s">
        <v>159</v>
      </c>
      <c r="D9" s="51" t="s">
        <v>160</v>
      </c>
      <c r="E9" s="50" t="s">
        <v>161</v>
      </c>
      <c r="F9" s="132">
        <v>1754628</v>
      </c>
      <c r="G9" s="132"/>
      <c r="H9" s="132">
        <v>12628</v>
      </c>
      <c r="I9" s="132"/>
      <c r="J9" s="132">
        <v>1742000</v>
      </c>
      <c r="K9" s="176"/>
      <c r="L9" s="33">
        <v>-877314</v>
      </c>
      <c r="M9" s="34"/>
      <c r="N9" s="35"/>
      <c r="O9" s="35"/>
      <c r="P9" s="27">
        <v>-877314</v>
      </c>
      <c r="Q9" s="118"/>
      <c r="R9" s="155"/>
      <c r="S9" s="142" t="s">
        <v>568</v>
      </c>
      <c r="T9" s="66" t="s">
        <v>421</v>
      </c>
      <c r="U9" s="128">
        <f t="shared" si="0"/>
        <v>0</v>
      </c>
      <c r="AC9" s="210">
        <f t="shared" si="1"/>
        <v>0</v>
      </c>
      <c r="AD9" s="207" t="str">
        <f t="shared" si="2"/>
        <v>OK</v>
      </c>
    </row>
    <row r="10" spans="1:30" ht="31.5" customHeight="1">
      <c r="A10" s="66">
        <v>5</v>
      </c>
      <c r="B10" s="89"/>
      <c r="C10" s="90" t="s">
        <v>100</v>
      </c>
      <c r="D10" s="51" t="s">
        <v>99</v>
      </c>
      <c r="E10" s="50" t="s">
        <v>860</v>
      </c>
      <c r="F10" s="132">
        <v>44246</v>
      </c>
      <c r="G10" s="132"/>
      <c r="H10" s="132"/>
      <c r="I10" s="132"/>
      <c r="J10" s="132"/>
      <c r="K10" s="176"/>
      <c r="L10" s="33">
        <v>-44246</v>
      </c>
      <c r="M10" s="34"/>
      <c r="N10" s="35"/>
      <c r="O10" s="35"/>
      <c r="P10" s="27">
        <v>-44246</v>
      </c>
      <c r="Q10" s="154" t="s">
        <v>731</v>
      </c>
      <c r="R10" s="155"/>
      <c r="S10" s="142" t="s">
        <v>731</v>
      </c>
      <c r="T10" s="66" t="s">
        <v>421</v>
      </c>
      <c r="U10" s="128">
        <f t="shared" si="0"/>
        <v>0</v>
      </c>
      <c r="AC10" s="210">
        <f t="shared" si="1"/>
        <v>0</v>
      </c>
      <c r="AD10" s="207" t="str">
        <f t="shared" si="2"/>
        <v>OK</v>
      </c>
    </row>
    <row r="11" spans="1:31" ht="43.5" customHeight="1">
      <c r="A11" s="127">
        <v>6</v>
      </c>
      <c r="B11" s="89"/>
      <c r="C11" s="91"/>
      <c r="D11" s="56"/>
      <c r="E11" s="50" t="s">
        <v>111</v>
      </c>
      <c r="F11" s="132">
        <v>65239</v>
      </c>
      <c r="G11" s="132"/>
      <c r="H11" s="132"/>
      <c r="I11" s="132"/>
      <c r="J11" s="132"/>
      <c r="K11" s="176"/>
      <c r="L11" s="33">
        <v>-65239</v>
      </c>
      <c r="M11" s="34"/>
      <c r="N11" s="35">
        <v>-8677</v>
      </c>
      <c r="O11" s="35"/>
      <c r="P11" s="27">
        <f>L11-N11</f>
        <v>-56562</v>
      </c>
      <c r="Q11" s="154" t="s">
        <v>69</v>
      </c>
      <c r="R11" s="155"/>
      <c r="S11" s="142" t="s">
        <v>755</v>
      </c>
      <c r="T11" s="66" t="s">
        <v>421</v>
      </c>
      <c r="U11" s="128">
        <f t="shared" si="0"/>
        <v>0</v>
      </c>
      <c r="AB11" s="35">
        <v>-8677</v>
      </c>
      <c r="AC11" s="210">
        <f t="shared" si="1"/>
        <v>-8677</v>
      </c>
      <c r="AD11" s="207" t="str">
        <f t="shared" si="2"/>
        <v>OK</v>
      </c>
      <c r="AE11" s="35">
        <v>-8677</v>
      </c>
    </row>
    <row r="12" spans="1:30" ht="39.75" customHeight="1">
      <c r="A12" s="66">
        <v>7</v>
      </c>
      <c r="B12" s="89"/>
      <c r="C12" s="91"/>
      <c r="D12" s="56"/>
      <c r="E12" s="50" t="s">
        <v>418</v>
      </c>
      <c r="F12" s="132">
        <v>124534</v>
      </c>
      <c r="G12" s="132"/>
      <c r="H12" s="132"/>
      <c r="I12" s="132"/>
      <c r="J12" s="132"/>
      <c r="K12" s="176"/>
      <c r="L12" s="33">
        <v>-124534</v>
      </c>
      <c r="M12" s="34"/>
      <c r="N12" s="35"/>
      <c r="O12" s="35"/>
      <c r="P12" s="27">
        <v>-124534</v>
      </c>
      <c r="Q12" s="154" t="s">
        <v>692</v>
      </c>
      <c r="R12" s="155"/>
      <c r="S12" s="142" t="s">
        <v>692</v>
      </c>
      <c r="T12" s="66" t="s">
        <v>421</v>
      </c>
      <c r="U12" s="128">
        <f t="shared" si="0"/>
        <v>0</v>
      </c>
      <c r="AB12" s="62"/>
      <c r="AC12" s="210">
        <f t="shared" si="1"/>
        <v>0</v>
      </c>
      <c r="AD12" s="207" t="str">
        <f t="shared" si="2"/>
        <v>OK</v>
      </c>
    </row>
    <row r="13" spans="1:30" ht="31.5" customHeight="1">
      <c r="A13" s="127">
        <v>8</v>
      </c>
      <c r="B13" s="89"/>
      <c r="C13" s="91"/>
      <c r="D13" s="56"/>
      <c r="E13" s="50" t="s">
        <v>861</v>
      </c>
      <c r="F13" s="132">
        <v>62073</v>
      </c>
      <c r="G13" s="132"/>
      <c r="H13" s="132"/>
      <c r="I13" s="132"/>
      <c r="J13" s="132"/>
      <c r="K13" s="176"/>
      <c r="L13" s="33">
        <v>-62073</v>
      </c>
      <c r="M13" s="34"/>
      <c r="N13" s="35"/>
      <c r="O13" s="35"/>
      <c r="P13" s="27">
        <v>-62073</v>
      </c>
      <c r="Q13" s="154" t="s">
        <v>692</v>
      </c>
      <c r="R13" s="155"/>
      <c r="S13" s="142" t="s">
        <v>692</v>
      </c>
      <c r="T13" s="66" t="s">
        <v>421</v>
      </c>
      <c r="U13" s="128">
        <f t="shared" si="0"/>
        <v>0</v>
      </c>
      <c r="AC13" s="210">
        <f t="shared" si="1"/>
        <v>0</v>
      </c>
      <c r="AD13" s="207" t="str">
        <f t="shared" si="2"/>
        <v>OK</v>
      </c>
    </row>
    <row r="14" spans="1:30" ht="31.5" customHeight="1">
      <c r="A14" s="66">
        <v>9</v>
      </c>
      <c r="B14" s="89"/>
      <c r="C14" s="92"/>
      <c r="D14" s="50"/>
      <c r="E14" s="50" t="s">
        <v>730</v>
      </c>
      <c r="F14" s="132">
        <v>356121</v>
      </c>
      <c r="G14" s="132"/>
      <c r="H14" s="132"/>
      <c r="I14" s="132"/>
      <c r="J14" s="132"/>
      <c r="K14" s="176"/>
      <c r="L14" s="33">
        <v>-356121</v>
      </c>
      <c r="M14" s="34"/>
      <c r="N14" s="35"/>
      <c r="O14" s="35"/>
      <c r="P14" s="27">
        <v>-356121</v>
      </c>
      <c r="Q14" s="154" t="s">
        <v>692</v>
      </c>
      <c r="R14" s="155"/>
      <c r="S14" s="142" t="s">
        <v>692</v>
      </c>
      <c r="T14" s="66" t="s">
        <v>421</v>
      </c>
      <c r="U14" s="128">
        <f t="shared" si="0"/>
        <v>0</v>
      </c>
      <c r="AC14" s="210">
        <f t="shared" si="1"/>
        <v>0</v>
      </c>
      <c r="AD14" s="207" t="str">
        <f t="shared" si="2"/>
        <v>OK</v>
      </c>
    </row>
    <row r="15" spans="1:31" ht="32.25" customHeight="1">
      <c r="A15" s="127">
        <v>10</v>
      </c>
      <c r="B15" s="89"/>
      <c r="C15" s="93" t="s">
        <v>110</v>
      </c>
      <c r="D15" s="50" t="s">
        <v>109</v>
      </c>
      <c r="E15" s="50" t="s">
        <v>616</v>
      </c>
      <c r="F15" s="132">
        <v>1041000</v>
      </c>
      <c r="G15" s="132"/>
      <c r="H15" s="132"/>
      <c r="I15" s="132"/>
      <c r="J15" s="132"/>
      <c r="K15" s="176"/>
      <c r="L15" s="33">
        <v>-1041000</v>
      </c>
      <c r="M15" s="34"/>
      <c r="N15" s="35">
        <v>-1041000</v>
      </c>
      <c r="O15" s="35"/>
      <c r="P15" s="27"/>
      <c r="Q15" s="154" t="s">
        <v>68</v>
      </c>
      <c r="R15" s="155"/>
      <c r="S15" s="142" t="s">
        <v>756</v>
      </c>
      <c r="T15" s="66" t="s">
        <v>421</v>
      </c>
      <c r="U15" s="128">
        <f t="shared" si="0"/>
        <v>0</v>
      </c>
      <c r="AB15" s="35">
        <v>-1041000</v>
      </c>
      <c r="AC15" s="210">
        <f t="shared" si="1"/>
        <v>-1041000</v>
      </c>
      <c r="AD15" s="207" t="str">
        <f t="shared" si="2"/>
        <v>OK</v>
      </c>
      <c r="AE15" s="35">
        <v>-1041000</v>
      </c>
    </row>
    <row r="16" spans="1:30" ht="31.5" customHeight="1">
      <c r="A16" s="66">
        <v>11</v>
      </c>
      <c r="B16" s="89"/>
      <c r="C16" s="90" t="s">
        <v>108</v>
      </c>
      <c r="D16" s="38" t="s">
        <v>107</v>
      </c>
      <c r="E16" s="50" t="s">
        <v>105</v>
      </c>
      <c r="F16" s="132">
        <v>221961</v>
      </c>
      <c r="G16" s="132"/>
      <c r="H16" s="132">
        <v>44139</v>
      </c>
      <c r="I16" s="132"/>
      <c r="J16" s="132">
        <v>177822</v>
      </c>
      <c r="K16" s="176"/>
      <c r="L16" s="33">
        <v>-110981</v>
      </c>
      <c r="M16" s="34">
        <v>0</v>
      </c>
      <c r="N16" s="35">
        <v>-22070</v>
      </c>
      <c r="O16" s="35">
        <v>0</v>
      </c>
      <c r="P16" s="155">
        <v>-88911</v>
      </c>
      <c r="Q16" s="118"/>
      <c r="R16" s="155"/>
      <c r="S16" s="142" t="s">
        <v>809</v>
      </c>
      <c r="T16" s="66" t="s">
        <v>421</v>
      </c>
      <c r="U16" s="128">
        <f t="shared" si="0"/>
        <v>0</v>
      </c>
      <c r="AA16" s="66">
        <v>-22070</v>
      </c>
      <c r="AC16" s="210">
        <f t="shared" si="1"/>
        <v>-22070</v>
      </c>
      <c r="AD16" s="207" t="str">
        <f t="shared" si="2"/>
        <v>OK</v>
      </c>
    </row>
    <row r="17" spans="1:30" ht="31.5" customHeight="1">
      <c r="A17" s="127">
        <v>12</v>
      </c>
      <c r="B17" s="89"/>
      <c r="C17" s="93" t="s">
        <v>104</v>
      </c>
      <c r="D17" s="50" t="s">
        <v>101</v>
      </c>
      <c r="E17" s="50"/>
      <c r="F17" s="132">
        <v>1223</v>
      </c>
      <c r="G17" s="132"/>
      <c r="H17" s="132"/>
      <c r="I17" s="132"/>
      <c r="J17" s="132"/>
      <c r="K17" s="176"/>
      <c r="L17" s="33">
        <v>-1223</v>
      </c>
      <c r="M17" s="34">
        <v>-1223</v>
      </c>
      <c r="N17" s="35"/>
      <c r="O17" s="35"/>
      <c r="P17" s="27"/>
      <c r="Q17" s="118"/>
      <c r="R17" s="155"/>
      <c r="S17" s="142"/>
      <c r="T17" s="66" t="s">
        <v>421</v>
      </c>
      <c r="U17" s="128">
        <f t="shared" si="0"/>
        <v>0</v>
      </c>
      <c r="AC17" s="210">
        <f t="shared" si="1"/>
        <v>0</v>
      </c>
      <c r="AD17" s="207" t="str">
        <f t="shared" si="2"/>
        <v>OK</v>
      </c>
    </row>
    <row r="18" spans="1:30" ht="40.5" customHeight="1">
      <c r="A18" s="66">
        <v>13</v>
      </c>
      <c r="B18" s="89"/>
      <c r="C18" s="90" t="s">
        <v>388</v>
      </c>
      <c r="D18" s="56" t="s">
        <v>8</v>
      </c>
      <c r="E18" s="50" t="s">
        <v>9</v>
      </c>
      <c r="F18" s="132">
        <v>5380741</v>
      </c>
      <c r="G18" s="132"/>
      <c r="H18" s="132"/>
      <c r="I18" s="132"/>
      <c r="J18" s="132"/>
      <c r="K18" s="176"/>
      <c r="L18" s="33">
        <v>-6000</v>
      </c>
      <c r="M18" s="34"/>
      <c r="N18" s="35"/>
      <c r="O18" s="35"/>
      <c r="P18" s="27">
        <v>-6000</v>
      </c>
      <c r="Q18" s="118"/>
      <c r="R18" s="155"/>
      <c r="S18" s="142" t="s">
        <v>10</v>
      </c>
      <c r="T18" s="66" t="s">
        <v>421</v>
      </c>
      <c r="U18" s="128">
        <f t="shared" si="0"/>
        <v>0</v>
      </c>
      <c r="AC18" s="210">
        <f t="shared" si="1"/>
        <v>0</v>
      </c>
      <c r="AD18" s="207" t="str">
        <f t="shared" si="2"/>
        <v>OK</v>
      </c>
    </row>
    <row r="19" spans="1:30" ht="34.5" customHeight="1">
      <c r="A19" s="127">
        <v>14</v>
      </c>
      <c r="B19" s="89"/>
      <c r="C19" s="91"/>
      <c r="D19" s="51" t="s">
        <v>389</v>
      </c>
      <c r="E19" s="38" t="s">
        <v>390</v>
      </c>
      <c r="F19" s="132">
        <v>2975</v>
      </c>
      <c r="G19" s="132"/>
      <c r="H19" s="132"/>
      <c r="I19" s="132"/>
      <c r="J19" s="132"/>
      <c r="K19" s="176"/>
      <c r="L19" s="33">
        <v>-2975</v>
      </c>
      <c r="M19" s="34"/>
      <c r="N19" s="35"/>
      <c r="O19" s="35"/>
      <c r="P19" s="27">
        <v>-2975</v>
      </c>
      <c r="Q19" s="118"/>
      <c r="R19" s="155"/>
      <c r="S19" s="142"/>
      <c r="T19" s="66" t="s">
        <v>421</v>
      </c>
      <c r="U19" s="128">
        <f t="shared" si="0"/>
        <v>0</v>
      </c>
      <c r="AC19" s="210">
        <f t="shared" si="1"/>
        <v>0</v>
      </c>
      <c r="AD19" s="207" t="str">
        <f t="shared" si="2"/>
        <v>OK</v>
      </c>
    </row>
    <row r="20" spans="1:30" ht="31.5" customHeight="1">
      <c r="A20" s="66">
        <v>15</v>
      </c>
      <c r="B20" s="89"/>
      <c r="C20" s="91"/>
      <c r="D20" s="50"/>
      <c r="E20" s="38" t="s">
        <v>391</v>
      </c>
      <c r="F20" s="132">
        <v>1240</v>
      </c>
      <c r="G20" s="132"/>
      <c r="H20" s="132"/>
      <c r="I20" s="132"/>
      <c r="J20" s="132"/>
      <c r="K20" s="176"/>
      <c r="L20" s="33">
        <v>-1240</v>
      </c>
      <c r="M20" s="34"/>
      <c r="N20" s="35"/>
      <c r="O20" s="35"/>
      <c r="P20" s="27">
        <v>-1240</v>
      </c>
      <c r="Q20" s="118"/>
      <c r="R20" s="155"/>
      <c r="S20" s="142"/>
      <c r="T20" s="66" t="s">
        <v>421</v>
      </c>
      <c r="U20" s="128">
        <f t="shared" si="0"/>
        <v>0</v>
      </c>
      <c r="AC20" s="210">
        <f t="shared" si="1"/>
        <v>0</v>
      </c>
      <c r="AD20" s="207" t="str">
        <f t="shared" si="2"/>
        <v>OK</v>
      </c>
    </row>
    <row r="21" spans="1:30" ht="31.5" customHeight="1">
      <c r="A21" s="127">
        <v>16</v>
      </c>
      <c r="B21" s="89"/>
      <c r="C21" s="90" t="s">
        <v>70</v>
      </c>
      <c r="D21" s="51" t="s">
        <v>71</v>
      </c>
      <c r="E21" s="38" t="s">
        <v>447</v>
      </c>
      <c r="F21" s="132">
        <v>3592</v>
      </c>
      <c r="G21" s="132"/>
      <c r="H21" s="132"/>
      <c r="I21" s="132"/>
      <c r="J21" s="132"/>
      <c r="K21" s="176"/>
      <c r="L21" s="33">
        <v>-3592</v>
      </c>
      <c r="M21" s="34"/>
      <c r="N21" s="35"/>
      <c r="O21" s="35"/>
      <c r="P21" s="27">
        <v>-3592</v>
      </c>
      <c r="Q21" s="154"/>
      <c r="R21" s="155"/>
      <c r="S21" s="56" t="s">
        <v>238</v>
      </c>
      <c r="T21" s="66" t="s">
        <v>421</v>
      </c>
      <c r="U21" s="128">
        <f t="shared" si="0"/>
        <v>0</v>
      </c>
      <c r="AB21" s="76"/>
      <c r="AC21" s="210">
        <f t="shared" si="1"/>
        <v>0</v>
      </c>
      <c r="AD21" s="207" t="str">
        <f t="shared" si="2"/>
        <v>OK</v>
      </c>
    </row>
    <row r="22" spans="1:30" ht="41.25" customHeight="1">
      <c r="A22" s="66">
        <v>17</v>
      </c>
      <c r="B22" s="89"/>
      <c r="C22" s="91"/>
      <c r="D22" s="51"/>
      <c r="E22" s="38" t="s">
        <v>810</v>
      </c>
      <c r="F22" s="132">
        <v>2523</v>
      </c>
      <c r="G22" s="132"/>
      <c r="H22" s="132"/>
      <c r="I22" s="132"/>
      <c r="J22" s="132"/>
      <c r="K22" s="176"/>
      <c r="L22" s="33">
        <v>-2523</v>
      </c>
      <c r="M22" s="34"/>
      <c r="N22" s="35"/>
      <c r="O22" s="35"/>
      <c r="P22" s="27">
        <v>-2523</v>
      </c>
      <c r="Q22" s="154"/>
      <c r="R22" s="155"/>
      <c r="S22" s="56"/>
      <c r="T22" s="66" t="s">
        <v>421</v>
      </c>
      <c r="U22" s="128">
        <f t="shared" si="0"/>
        <v>0</v>
      </c>
      <c r="AB22" s="76"/>
      <c r="AC22" s="210">
        <f t="shared" si="1"/>
        <v>0</v>
      </c>
      <c r="AD22" s="207" t="str">
        <f t="shared" si="2"/>
        <v>OK</v>
      </c>
    </row>
    <row r="23" spans="1:30" ht="39" customHeight="1">
      <c r="A23" s="127">
        <v>18</v>
      </c>
      <c r="B23" s="89"/>
      <c r="C23" s="91"/>
      <c r="D23" s="51"/>
      <c r="E23" s="38" t="s">
        <v>478</v>
      </c>
      <c r="F23" s="132">
        <v>53624</v>
      </c>
      <c r="G23" s="132"/>
      <c r="H23" s="132"/>
      <c r="I23" s="132"/>
      <c r="J23" s="132"/>
      <c r="K23" s="176"/>
      <c r="L23" s="33">
        <v>-53624</v>
      </c>
      <c r="M23" s="34"/>
      <c r="N23" s="35"/>
      <c r="O23" s="35">
        <v>-53000</v>
      </c>
      <c r="P23" s="27">
        <v>-624</v>
      </c>
      <c r="Q23" s="154"/>
      <c r="R23" s="155"/>
      <c r="S23" s="56" t="s">
        <v>811</v>
      </c>
      <c r="T23" s="66" t="s">
        <v>421</v>
      </c>
      <c r="U23" s="128">
        <f t="shared" si="0"/>
        <v>0</v>
      </c>
      <c r="AB23" s="76"/>
      <c r="AC23" s="210">
        <f t="shared" si="1"/>
        <v>0</v>
      </c>
      <c r="AD23" s="207" t="str">
        <f t="shared" si="2"/>
        <v>OK</v>
      </c>
    </row>
    <row r="24" spans="1:30" ht="31.5" customHeight="1">
      <c r="A24" s="66">
        <v>19</v>
      </c>
      <c r="B24" s="89"/>
      <c r="C24" s="91"/>
      <c r="D24" s="51" t="s">
        <v>732</v>
      </c>
      <c r="E24" s="38" t="s">
        <v>733</v>
      </c>
      <c r="F24" s="132">
        <v>620597</v>
      </c>
      <c r="G24" s="132"/>
      <c r="H24" s="132"/>
      <c r="I24" s="132"/>
      <c r="J24" s="132"/>
      <c r="K24" s="176"/>
      <c r="L24" s="33">
        <v>-310298</v>
      </c>
      <c r="M24" s="34"/>
      <c r="N24" s="35"/>
      <c r="O24" s="35"/>
      <c r="P24" s="27">
        <v>-310298</v>
      </c>
      <c r="Q24" s="118"/>
      <c r="R24" s="155"/>
      <c r="S24" s="129" t="s">
        <v>94</v>
      </c>
      <c r="T24" s="66" t="s">
        <v>421</v>
      </c>
      <c r="U24" s="128">
        <f t="shared" si="0"/>
        <v>0</v>
      </c>
      <c r="AC24" s="210">
        <f t="shared" si="1"/>
        <v>0</v>
      </c>
      <c r="AD24" s="207" t="str">
        <f t="shared" si="2"/>
        <v>OK</v>
      </c>
    </row>
    <row r="25" spans="1:30" ht="31.5" customHeight="1">
      <c r="A25" s="127">
        <v>20</v>
      </c>
      <c r="B25" s="89"/>
      <c r="C25" s="92"/>
      <c r="D25" s="50" t="s">
        <v>736</v>
      </c>
      <c r="E25" s="50" t="s">
        <v>737</v>
      </c>
      <c r="F25" s="132">
        <v>66796</v>
      </c>
      <c r="G25" s="132"/>
      <c r="H25" s="132"/>
      <c r="I25" s="132"/>
      <c r="J25" s="132"/>
      <c r="K25" s="176"/>
      <c r="L25" s="33">
        <v>-34000</v>
      </c>
      <c r="M25" s="34">
        <v>-15000</v>
      </c>
      <c r="N25" s="35"/>
      <c r="O25" s="35"/>
      <c r="P25" s="27">
        <v>-19000</v>
      </c>
      <c r="Q25" s="118"/>
      <c r="R25" s="155"/>
      <c r="S25" s="142" t="s">
        <v>386</v>
      </c>
      <c r="T25" s="66" t="s">
        <v>421</v>
      </c>
      <c r="U25" s="128">
        <f t="shared" si="0"/>
        <v>0</v>
      </c>
      <c r="AC25" s="210">
        <f t="shared" si="1"/>
        <v>0</v>
      </c>
      <c r="AD25" s="207" t="str">
        <f t="shared" si="2"/>
        <v>OK</v>
      </c>
    </row>
    <row r="26" spans="1:30" ht="36" customHeight="1">
      <c r="A26" s="66">
        <v>21</v>
      </c>
      <c r="B26" s="89"/>
      <c r="C26" s="90" t="s">
        <v>125</v>
      </c>
      <c r="D26" s="51" t="s">
        <v>126</v>
      </c>
      <c r="E26" s="50" t="s">
        <v>127</v>
      </c>
      <c r="F26" s="132">
        <v>187443</v>
      </c>
      <c r="G26" s="132"/>
      <c r="H26" s="132"/>
      <c r="I26" s="132"/>
      <c r="J26" s="132"/>
      <c r="K26" s="176"/>
      <c r="L26" s="33">
        <v>-187443</v>
      </c>
      <c r="M26" s="34"/>
      <c r="N26" s="35"/>
      <c r="O26" s="35"/>
      <c r="P26" s="27">
        <v>-187443</v>
      </c>
      <c r="Q26" s="154"/>
      <c r="R26" s="155"/>
      <c r="S26" s="153"/>
      <c r="T26" s="66" t="s">
        <v>421</v>
      </c>
      <c r="U26" s="128">
        <f t="shared" si="0"/>
        <v>0</v>
      </c>
      <c r="Y26" s="35"/>
      <c r="Z26" s="35"/>
      <c r="AA26" s="35"/>
      <c r="AB26" s="76">
        <f>N26-V26-W26-X26-Y26-AA26</f>
        <v>0</v>
      </c>
      <c r="AC26" s="210">
        <f t="shared" si="1"/>
        <v>0</v>
      </c>
      <c r="AD26" s="207" t="str">
        <f t="shared" si="2"/>
        <v>OK</v>
      </c>
    </row>
    <row r="27" spans="1:30" ht="55.5" customHeight="1">
      <c r="A27" s="127">
        <v>22</v>
      </c>
      <c r="B27" s="89"/>
      <c r="C27" s="94" t="s">
        <v>102</v>
      </c>
      <c r="D27" s="51" t="s">
        <v>103</v>
      </c>
      <c r="E27" s="50" t="s">
        <v>617</v>
      </c>
      <c r="F27" s="132">
        <v>2552092</v>
      </c>
      <c r="G27" s="132"/>
      <c r="H27" s="132"/>
      <c r="I27" s="132"/>
      <c r="J27" s="132"/>
      <c r="K27" s="176"/>
      <c r="L27" s="33">
        <v>-877314</v>
      </c>
      <c r="M27" s="34"/>
      <c r="N27" s="35">
        <v>-877314</v>
      </c>
      <c r="O27" s="35"/>
      <c r="P27" s="27"/>
      <c r="Q27" s="118"/>
      <c r="R27" s="155"/>
      <c r="S27" s="142"/>
      <c r="T27" s="66" t="s">
        <v>421</v>
      </c>
      <c r="U27" s="128">
        <f t="shared" si="0"/>
        <v>0</v>
      </c>
      <c r="AA27" s="35">
        <v>-877314</v>
      </c>
      <c r="AC27" s="210">
        <f t="shared" si="1"/>
        <v>-877314</v>
      </c>
      <c r="AD27" s="207" t="str">
        <f t="shared" si="2"/>
        <v>OK</v>
      </c>
    </row>
    <row r="28" spans="1:30" ht="31.5" customHeight="1">
      <c r="A28" s="66">
        <v>23</v>
      </c>
      <c r="B28" s="89"/>
      <c r="C28" s="90" t="s">
        <v>128</v>
      </c>
      <c r="D28" s="51" t="s">
        <v>129</v>
      </c>
      <c r="E28" s="50" t="s">
        <v>734</v>
      </c>
      <c r="F28" s="132">
        <v>5034</v>
      </c>
      <c r="G28" s="132"/>
      <c r="H28" s="132"/>
      <c r="I28" s="132"/>
      <c r="J28" s="132"/>
      <c r="K28" s="176"/>
      <c r="L28" s="33">
        <v>-5034</v>
      </c>
      <c r="M28" s="34">
        <v>-4000</v>
      </c>
      <c r="N28" s="35"/>
      <c r="O28" s="35"/>
      <c r="P28" s="27">
        <v>-1034</v>
      </c>
      <c r="Q28" s="118"/>
      <c r="R28" s="155"/>
      <c r="S28" s="142"/>
      <c r="T28" s="66" t="s">
        <v>421</v>
      </c>
      <c r="U28" s="128">
        <f t="shared" si="0"/>
        <v>0</v>
      </c>
      <c r="AC28" s="210">
        <f t="shared" si="1"/>
        <v>0</v>
      </c>
      <c r="AD28" s="207" t="str">
        <f t="shared" si="2"/>
        <v>OK</v>
      </c>
    </row>
    <row r="29" spans="1:31" ht="43.5" customHeight="1">
      <c r="A29" s="127">
        <v>24</v>
      </c>
      <c r="B29" s="89"/>
      <c r="C29" s="91"/>
      <c r="D29" s="56"/>
      <c r="E29" s="38" t="s">
        <v>735</v>
      </c>
      <c r="F29" s="131">
        <v>35802</v>
      </c>
      <c r="G29" s="131"/>
      <c r="H29" s="131"/>
      <c r="I29" s="131"/>
      <c r="J29" s="131"/>
      <c r="K29" s="177"/>
      <c r="L29" s="26">
        <v>-35802</v>
      </c>
      <c r="M29" s="47"/>
      <c r="N29" s="48">
        <v>-18440</v>
      </c>
      <c r="O29" s="48"/>
      <c r="P29" s="49">
        <f>L29-N29</f>
        <v>-17362</v>
      </c>
      <c r="Q29" s="119"/>
      <c r="R29" s="149"/>
      <c r="S29" s="129" t="s">
        <v>658</v>
      </c>
      <c r="T29" s="66" t="s">
        <v>421</v>
      </c>
      <c r="U29" s="128">
        <f t="shared" si="0"/>
        <v>0</v>
      </c>
      <c r="AA29" s="48">
        <v>-18440</v>
      </c>
      <c r="AC29" s="210">
        <f t="shared" si="1"/>
        <v>-18440</v>
      </c>
      <c r="AD29" s="207" t="str">
        <f t="shared" si="2"/>
        <v>OK</v>
      </c>
      <c r="AE29" s="48">
        <v>-18440</v>
      </c>
    </row>
    <row r="30" spans="1:30" ht="43.5" customHeight="1" thickBot="1">
      <c r="A30" s="66">
        <v>25</v>
      </c>
      <c r="B30" s="89"/>
      <c r="C30" s="91"/>
      <c r="D30" s="56"/>
      <c r="E30" s="56" t="s">
        <v>818</v>
      </c>
      <c r="F30" s="107">
        <v>133540</v>
      </c>
      <c r="G30" s="107"/>
      <c r="H30" s="107"/>
      <c r="I30" s="107"/>
      <c r="J30" s="107"/>
      <c r="K30" s="107"/>
      <c r="L30" s="379">
        <v>-133540</v>
      </c>
      <c r="M30" s="62"/>
      <c r="N30" s="44"/>
      <c r="O30" s="44">
        <v>-123000</v>
      </c>
      <c r="P30" s="45">
        <v>-10540</v>
      </c>
      <c r="Q30" s="62"/>
      <c r="R30" s="150"/>
      <c r="S30" s="143" t="s">
        <v>757</v>
      </c>
      <c r="T30" s="66" t="s">
        <v>421</v>
      </c>
      <c r="U30" s="128">
        <f t="shared" si="0"/>
        <v>0</v>
      </c>
      <c r="AA30" s="62"/>
      <c r="AC30" s="210">
        <f t="shared" si="1"/>
        <v>0</v>
      </c>
      <c r="AD30" s="207" t="str">
        <f t="shared" si="2"/>
        <v>OK</v>
      </c>
    </row>
    <row r="31" spans="2:30" ht="31.5" customHeight="1" thickBot="1">
      <c r="B31" s="95"/>
      <c r="C31" s="96"/>
      <c r="D31" s="57"/>
      <c r="E31" s="57" t="s">
        <v>403</v>
      </c>
      <c r="F31" s="310">
        <f>SUM(F7:F30)</f>
        <v>13464885</v>
      </c>
      <c r="G31" s="105">
        <f>SUM(G7:G30)</f>
        <v>0</v>
      </c>
      <c r="H31" s="105">
        <f>SUM(H7:H30)</f>
        <v>178853</v>
      </c>
      <c r="I31" s="105">
        <f>SUM(I7:I30)</f>
        <v>5600000</v>
      </c>
      <c r="J31" s="105">
        <f>SUM(J7:J30)</f>
        <v>7232959</v>
      </c>
      <c r="K31" s="393"/>
      <c r="L31" s="311">
        <f>SUM(L7:L30)</f>
        <v>-4514158</v>
      </c>
      <c r="M31" s="97">
        <f>SUM(M7:M30)</f>
        <v>-20223</v>
      </c>
      <c r="N31" s="61">
        <f>SUM(N7:N30)</f>
        <v>-1991918</v>
      </c>
      <c r="O31" s="61">
        <f>SUM(O7:O30)</f>
        <v>-176000</v>
      </c>
      <c r="P31" s="64">
        <f>SUM(P7:P30)</f>
        <v>-2326017</v>
      </c>
      <c r="Q31" s="68"/>
      <c r="R31" s="64"/>
      <c r="S31" s="144"/>
      <c r="U31" s="128">
        <f t="shared" si="0"/>
        <v>0</v>
      </c>
      <c r="W31" s="59">
        <f aca="true" t="shared" si="4" ref="W31:AB31">SUM(W8:W29)</f>
        <v>0</v>
      </c>
      <c r="X31" s="59">
        <f t="shared" si="4"/>
        <v>0</v>
      </c>
      <c r="Y31" s="59">
        <f t="shared" si="4"/>
        <v>0</v>
      </c>
      <c r="Z31" s="59">
        <f t="shared" si="4"/>
        <v>0</v>
      </c>
      <c r="AA31" s="59">
        <f t="shared" si="4"/>
        <v>-917824</v>
      </c>
      <c r="AB31" s="59">
        <f t="shared" si="4"/>
        <v>-1074094</v>
      </c>
      <c r="AC31" s="210">
        <f t="shared" si="1"/>
        <v>-1991918</v>
      </c>
      <c r="AD31" s="207" t="str">
        <f t="shared" si="2"/>
        <v>OK</v>
      </c>
    </row>
    <row r="32" spans="1:30" ht="31.5" customHeight="1">
      <c r="A32" s="66">
        <v>26</v>
      </c>
      <c r="B32" s="89" t="s">
        <v>438</v>
      </c>
      <c r="C32" s="91" t="s">
        <v>439</v>
      </c>
      <c r="D32" s="51" t="s">
        <v>454</v>
      </c>
      <c r="E32" s="50" t="s">
        <v>455</v>
      </c>
      <c r="F32" s="132">
        <v>422339</v>
      </c>
      <c r="G32" s="132">
        <f>F32*2/3</f>
        <v>281559.3333333333</v>
      </c>
      <c r="H32" s="132"/>
      <c r="I32" s="132"/>
      <c r="J32" s="132">
        <f>F32*1/3</f>
        <v>140779.66666666666</v>
      </c>
      <c r="K32" s="176"/>
      <c r="L32" s="33">
        <v>-422339</v>
      </c>
      <c r="M32" s="34">
        <v>-281559</v>
      </c>
      <c r="N32" s="35"/>
      <c r="O32" s="35"/>
      <c r="P32" s="27">
        <v>-140780</v>
      </c>
      <c r="Q32" s="118"/>
      <c r="R32" s="155"/>
      <c r="S32" s="142"/>
      <c r="T32" s="66" t="s">
        <v>752</v>
      </c>
      <c r="U32" s="128">
        <f t="shared" si="0"/>
        <v>0</v>
      </c>
      <c r="AC32" s="210">
        <f t="shared" si="1"/>
        <v>0</v>
      </c>
      <c r="AD32" s="207" t="str">
        <f t="shared" si="2"/>
        <v>OK</v>
      </c>
    </row>
    <row r="33" spans="1:30" ht="31.5" customHeight="1">
      <c r="A33" s="66">
        <v>27</v>
      </c>
      <c r="B33" s="89"/>
      <c r="C33" s="92"/>
      <c r="D33" s="50"/>
      <c r="E33" s="50" t="s">
        <v>404</v>
      </c>
      <c r="F33" s="132">
        <v>12694</v>
      </c>
      <c r="G33" s="132"/>
      <c r="H33" s="132"/>
      <c r="I33" s="132"/>
      <c r="J33" s="132"/>
      <c r="K33" s="176"/>
      <c r="L33" s="33">
        <v>-12694</v>
      </c>
      <c r="M33" s="34">
        <v>-12420</v>
      </c>
      <c r="N33" s="35"/>
      <c r="O33" s="35"/>
      <c r="P33" s="27">
        <v>-274</v>
      </c>
      <c r="Q33" s="118"/>
      <c r="R33" s="155"/>
      <c r="S33" s="142"/>
      <c r="T33" s="66" t="s">
        <v>421</v>
      </c>
      <c r="U33" s="128">
        <f t="shared" si="0"/>
        <v>0</v>
      </c>
      <c r="AC33" s="210">
        <f t="shared" si="1"/>
        <v>0</v>
      </c>
      <c r="AD33" s="207" t="str">
        <f t="shared" si="2"/>
        <v>OK</v>
      </c>
    </row>
    <row r="34" spans="1:30" ht="40.5" customHeight="1" thickBot="1">
      <c r="A34" s="66">
        <v>28</v>
      </c>
      <c r="B34" s="89"/>
      <c r="C34" s="93" t="s">
        <v>84</v>
      </c>
      <c r="D34" s="50" t="s">
        <v>405</v>
      </c>
      <c r="E34" s="50"/>
      <c r="F34" s="132">
        <v>63650</v>
      </c>
      <c r="G34" s="132"/>
      <c r="H34" s="132"/>
      <c r="I34" s="132"/>
      <c r="J34" s="132"/>
      <c r="K34" s="176"/>
      <c r="L34" s="33">
        <v>-63650</v>
      </c>
      <c r="M34" s="34">
        <v>-42433</v>
      </c>
      <c r="N34" s="35"/>
      <c r="O34" s="35">
        <v>-20900</v>
      </c>
      <c r="P34" s="27">
        <v>-317</v>
      </c>
      <c r="Q34" s="118"/>
      <c r="R34" s="155"/>
      <c r="S34" s="142"/>
      <c r="T34" s="66" t="s">
        <v>421</v>
      </c>
      <c r="U34" s="128">
        <f t="shared" si="0"/>
        <v>0</v>
      </c>
      <c r="AC34" s="210">
        <f t="shared" si="1"/>
        <v>0</v>
      </c>
      <c r="AD34" s="207" t="str">
        <f t="shared" si="2"/>
        <v>OK</v>
      </c>
    </row>
    <row r="35" spans="2:30" ht="31.5" customHeight="1" thickBot="1">
      <c r="B35" s="95"/>
      <c r="C35" s="96"/>
      <c r="D35" s="57"/>
      <c r="E35" s="57" t="s">
        <v>403</v>
      </c>
      <c r="F35" s="310">
        <f>SUM(F32:F34)</f>
        <v>498683</v>
      </c>
      <c r="G35" s="105">
        <f>SUM(G32:G34)</f>
        <v>281559.3333333333</v>
      </c>
      <c r="H35" s="105">
        <f>SUM(H32:H34)</f>
        <v>0</v>
      </c>
      <c r="I35" s="105">
        <f>SUM(I32:I34)</f>
        <v>0</v>
      </c>
      <c r="J35" s="105">
        <f>SUM(J32:J34)</f>
        <v>140779.66666666666</v>
      </c>
      <c r="K35" s="393"/>
      <c r="L35" s="311">
        <f>SUM(L32:L34)</f>
        <v>-498683</v>
      </c>
      <c r="M35" s="97">
        <f>SUM(M32:M34)</f>
        <v>-336412</v>
      </c>
      <c r="N35" s="61">
        <f>SUM(N32:N34)</f>
        <v>0</v>
      </c>
      <c r="O35" s="61">
        <f>SUM(O32:O34)</f>
        <v>-20900</v>
      </c>
      <c r="P35" s="64">
        <f>SUM(P32:P34)</f>
        <v>-141371</v>
      </c>
      <c r="Q35" s="68"/>
      <c r="R35" s="64"/>
      <c r="S35" s="144"/>
      <c r="U35" s="128">
        <f t="shared" si="0"/>
        <v>0</v>
      </c>
      <c r="W35" s="59">
        <f aca="true" t="shared" si="5" ref="W35:AB35">SUM(W32:W34)</f>
        <v>0</v>
      </c>
      <c r="X35" s="59">
        <f t="shared" si="5"/>
        <v>0</v>
      </c>
      <c r="Y35" s="59">
        <f t="shared" si="5"/>
        <v>0</v>
      </c>
      <c r="Z35" s="59">
        <f t="shared" si="5"/>
        <v>0</v>
      </c>
      <c r="AA35" s="59">
        <f t="shared" si="5"/>
        <v>0</v>
      </c>
      <c r="AB35" s="59">
        <f t="shared" si="5"/>
        <v>0</v>
      </c>
      <c r="AC35" s="210">
        <f t="shared" si="1"/>
        <v>0</v>
      </c>
      <c r="AD35" s="207" t="str">
        <f t="shared" si="2"/>
        <v>OK</v>
      </c>
    </row>
    <row r="36" spans="1:30" ht="39" customHeight="1">
      <c r="A36" s="66">
        <v>29</v>
      </c>
      <c r="B36" s="89" t="s">
        <v>231</v>
      </c>
      <c r="C36" s="92" t="s">
        <v>230</v>
      </c>
      <c r="D36" s="50" t="s">
        <v>443</v>
      </c>
      <c r="E36" s="50"/>
      <c r="F36" s="132">
        <v>2805</v>
      </c>
      <c r="G36" s="132"/>
      <c r="H36" s="132"/>
      <c r="I36" s="132"/>
      <c r="J36" s="132"/>
      <c r="K36" s="176"/>
      <c r="L36" s="33">
        <v>-2805</v>
      </c>
      <c r="M36" s="34"/>
      <c r="N36" s="35"/>
      <c r="O36" s="35"/>
      <c r="P36" s="27">
        <v>-2805</v>
      </c>
      <c r="Q36" s="118"/>
      <c r="R36" s="155"/>
      <c r="S36" s="142" t="s">
        <v>35</v>
      </c>
      <c r="T36" s="66" t="s">
        <v>421</v>
      </c>
      <c r="U36" s="128">
        <f t="shared" si="0"/>
        <v>0</v>
      </c>
      <c r="AC36" s="210">
        <f t="shared" si="1"/>
        <v>0</v>
      </c>
      <c r="AD36" s="207" t="str">
        <f t="shared" si="2"/>
        <v>OK</v>
      </c>
    </row>
    <row r="37" spans="1:30" ht="58.5" customHeight="1" thickBot="1">
      <c r="A37" s="66">
        <v>30</v>
      </c>
      <c r="B37" s="89"/>
      <c r="C37" s="90" t="s">
        <v>86</v>
      </c>
      <c r="D37" s="50" t="s">
        <v>87</v>
      </c>
      <c r="E37" s="50" t="s">
        <v>88</v>
      </c>
      <c r="F37" s="132">
        <v>87000</v>
      </c>
      <c r="G37" s="132"/>
      <c r="H37" s="132"/>
      <c r="I37" s="132"/>
      <c r="J37" s="132"/>
      <c r="K37" s="176"/>
      <c r="L37" s="33">
        <v>-87000</v>
      </c>
      <c r="M37" s="34"/>
      <c r="N37" s="35"/>
      <c r="O37" s="35"/>
      <c r="P37" s="27">
        <v>-87000</v>
      </c>
      <c r="Q37" s="118"/>
      <c r="R37" s="155"/>
      <c r="S37" s="142" t="s">
        <v>708</v>
      </c>
      <c r="T37" s="66" t="s">
        <v>421</v>
      </c>
      <c r="U37" s="128">
        <f aca="true" t="shared" si="6" ref="U37:U68">L37-M37-N37-O37-P37</f>
        <v>0</v>
      </c>
      <c r="AC37" s="210">
        <f aca="true" t="shared" si="7" ref="AC37:AC68">SUM(W37:AB37)</f>
        <v>0</v>
      </c>
      <c r="AD37" s="207" t="str">
        <f aca="true" t="shared" si="8" ref="AD37:AD68">IF(N37=AC37,"OK","OUT")</f>
        <v>OK</v>
      </c>
    </row>
    <row r="38" spans="2:30" ht="31.5" customHeight="1" thickBot="1">
      <c r="B38" s="95"/>
      <c r="C38" s="96"/>
      <c r="D38" s="57"/>
      <c r="E38" s="57" t="s">
        <v>403</v>
      </c>
      <c r="F38" s="310">
        <f>SUM(F36:F37)</f>
        <v>89805</v>
      </c>
      <c r="G38" s="105"/>
      <c r="H38" s="105"/>
      <c r="I38" s="105"/>
      <c r="J38" s="105"/>
      <c r="K38" s="393"/>
      <c r="L38" s="311">
        <f>SUM(L36:L37)</f>
        <v>-89805</v>
      </c>
      <c r="M38" s="60">
        <f>SUM(M36:M37)</f>
        <v>0</v>
      </c>
      <c r="N38" s="60">
        <f>SUM(N36:N37)</f>
        <v>0</v>
      </c>
      <c r="O38" s="60">
        <f>SUM(O36:O37)</f>
        <v>0</v>
      </c>
      <c r="P38" s="64">
        <f>SUM(P36:P37)</f>
        <v>-89805</v>
      </c>
      <c r="Q38" s="68"/>
      <c r="R38" s="64"/>
      <c r="S38" s="144"/>
      <c r="U38" s="128">
        <f t="shared" si="6"/>
        <v>0</v>
      </c>
      <c r="W38" s="59">
        <f aca="true" t="shared" si="9" ref="W38:AB38">SUM(W36:W37)</f>
        <v>0</v>
      </c>
      <c r="X38" s="59">
        <f t="shared" si="9"/>
        <v>0</v>
      </c>
      <c r="Y38" s="59">
        <f t="shared" si="9"/>
        <v>0</v>
      </c>
      <c r="Z38" s="59">
        <f t="shared" si="9"/>
        <v>0</v>
      </c>
      <c r="AA38" s="59">
        <f t="shared" si="9"/>
        <v>0</v>
      </c>
      <c r="AB38" s="59">
        <f t="shared" si="9"/>
        <v>0</v>
      </c>
      <c r="AC38" s="210">
        <f t="shared" si="7"/>
        <v>0</v>
      </c>
      <c r="AD38" s="207" t="str">
        <f t="shared" si="8"/>
        <v>OK</v>
      </c>
    </row>
    <row r="39" spans="1:30" ht="31.5" customHeight="1">
      <c r="A39" s="66">
        <v>31</v>
      </c>
      <c r="B39" s="819" t="s">
        <v>196</v>
      </c>
      <c r="C39" s="192" t="s">
        <v>598</v>
      </c>
      <c r="D39" s="180" t="s">
        <v>599</v>
      </c>
      <c r="E39" s="180" t="s">
        <v>600</v>
      </c>
      <c r="F39" s="181">
        <v>12326</v>
      </c>
      <c r="G39" s="181"/>
      <c r="H39" s="181"/>
      <c r="I39" s="181"/>
      <c r="J39" s="181"/>
      <c r="K39" s="182"/>
      <c r="L39" s="230">
        <v>-11000</v>
      </c>
      <c r="M39" s="193"/>
      <c r="N39" s="193"/>
      <c r="O39" s="193"/>
      <c r="P39" s="194">
        <v>-11000</v>
      </c>
      <c r="Q39" s="139"/>
      <c r="R39" s="173"/>
      <c r="S39" s="126"/>
      <c r="T39" s="66" t="s">
        <v>421</v>
      </c>
      <c r="U39" s="128">
        <f t="shared" si="6"/>
        <v>0</v>
      </c>
      <c r="W39" s="62"/>
      <c r="X39" s="62"/>
      <c r="Y39" s="62"/>
      <c r="Z39" s="62"/>
      <c r="AA39" s="62"/>
      <c r="AB39" s="62"/>
      <c r="AC39" s="210">
        <f t="shared" si="7"/>
        <v>0</v>
      </c>
      <c r="AD39" s="207" t="str">
        <f t="shared" si="8"/>
        <v>OK</v>
      </c>
    </row>
    <row r="40" spans="1:30" ht="31.5" customHeight="1">
      <c r="A40" s="66">
        <v>32</v>
      </c>
      <c r="B40" s="820"/>
      <c r="C40" s="93" t="s">
        <v>199</v>
      </c>
      <c r="D40" s="38" t="s">
        <v>200</v>
      </c>
      <c r="E40" s="50" t="s">
        <v>201</v>
      </c>
      <c r="F40" s="132">
        <v>700</v>
      </c>
      <c r="G40" s="132"/>
      <c r="H40" s="132"/>
      <c r="I40" s="132"/>
      <c r="J40" s="132"/>
      <c r="K40" s="176"/>
      <c r="L40" s="33">
        <v>-700</v>
      </c>
      <c r="M40" s="34"/>
      <c r="N40" s="35"/>
      <c r="O40" s="35"/>
      <c r="P40" s="27">
        <v>-700</v>
      </c>
      <c r="Q40" s="118"/>
      <c r="R40" s="155"/>
      <c r="S40" s="142"/>
      <c r="T40" s="66" t="s">
        <v>421</v>
      </c>
      <c r="U40" s="128">
        <f t="shared" si="6"/>
        <v>0</v>
      </c>
      <c r="AC40" s="210">
        <f t="shared" si="7"/>
        <v>0</v>
      </c>
      <c r="AD40" s="207" t="str">
        <f t="shared" si="8"/>
        <v>OK</v>
      </c>
    </row>
    <row r="41" spans="1:30" ht="49.5" customHeight="1">
      <c r="A41" s="66">
        <v>33</v>
      </c>
      <c r="B41" s="99"/>
      <c r="C41" s="91" t="s">
        <v>377</v>
      </c>
      <c r="D41" s="56" t="s">
        <v>376</v>
      </c>
      <c r="E41" s="50" t="s">
        <v>836</v>
      </c>
      <c r="F41" s="132">
        <v>2705</v>
      </c>
      <c r="G41" s="132"/>
      <c r="H41" s="132"/>
      <c r="I41" s="132"/>
      <c r="J41" s="132"/>
      <c r="K41" s="176"/>
      <c r="L41" s="33">
        <v>-2705</v>
      </c>
      <c r="M41" s="34"/>
      <c r="N41" s="35"/>
      <c r="O41" s="35"/>
      <c r="P41" s="27">
        <v>-2705</v>
      </c>
      <c r="Q41" s="118"/>
      <c r="R41" s="155"/>
      <c r="S41" s="142"/>
      <c r="T41" s="66" t="s">
        <v>421</v>
      </c>
      <c r="U41" s="128">
        <f t="shared" si="6"/>
        <v>0</v>
      </c>
      <c r="AC41" s="210">
        <f t="shared" si="7"/>
        <v>0</v>
      </c>
      <c r="AD41" s="207" t="str">
        <f t="shared" si="8"/>
        <v>OK</v>
      </c>
    </row>
    <row r="42" spans="1:30" ht="49.5" customHeight="1">
      <c r="A42" s="66">
        <v>34</v>
      </c>
      <c r="B42" s="99"/>
      <c r="C42" s="91"/>
      <c r="D42" s="50"/>
      <c r="E42" s="50" t="s">
        <v>601</v>
      </c>
      <c r="F42" s="132">
        <v>12505</v>
      </c>
      <c r="G42" s="132"/>
      <c r="H42" s="132"/>
      <c r="I42" s="132"/>
      <c r="J42" s="132"/>
      <c r="K42" s="176"/>
      <c r="L42" s="33">
        <v>-1050</v>
      </c>
      <c r="M42" s="34"/>
      <c r="N42" s="35"/>
      <c r="O42" s="35"/>
      <c r="P42" s="27">
        <v>-1050</v>
      </c>
      <c r="Q42" s="118"/>
      <c r="R42" s="155"/>
      <c r="S42" s="142" t="s">
        <v>606</v>
      </c>
      <c r="T42" s="66" t="s">
        <v>421</v>
      </c>
      <c r="U42" s="128">
        <f t="shared" si="6"/>
        <v>0</v>
      </c>
      <c r="AC42" s="210">
        <f t="shared" si="7"/>
        <v>0</v>
      </c>
      <c r="AD42" s="207" t="str">
        <f t="shared" si="8"/>
        <v>OK</v>
      </c>
    </row>
    <row r="43" spans="1:30" ht="49.5" customHeight="1">
      <c r="A43" s="66">
        <v>35</v>
      </c>
      <c r="B43" s="99"/>
      <c r="C43" s="91"/>
      <c r="D43" s="51" t="s">
        <v>38</v>
      </c>
      <c r="E43" s="50" t="s">
        <v>831</v>
      </c>
      <c r="F43" s="132">
        <v>49423</v>
      </c>
      <c r="G43" s="132"/>
      <c r="H43" s="132"/>
      <c r="I43" s="132"/>
      <c r="J43" s="132"/>
      <c r="K43" s="176"/>
      <c r="L43" s="33">
        <v>-49423</v>
      </c>
      <c r="M43" s="34"/>
      <c r="N43" s="35">
        <v>-49423</v>
      </c>
      <c r="O43" s="35"/>
      <c r="P43" s="27"/>
      <c r="Q43" s="118"/>
      <c r="R43" s="155"/>
      <c r="S43" s="142"/>
      <c r="T43" s="66" t="s">
        <v>421</v>
      </c>
      <c r="U43" s="128">
        <f t="shared" si="6"/>
        <v>0</v>
      </c>
      <c r="AA43" s="35">
        <v>-49423</v>
      </c>
      <c r="AC43" s="210">
        <f t="shared" si="7"/>
        <v>-49423</v>
      </c>
      <c r="AD43" s="207" t="str">
        <f t="shared" si="8"/>
        <v>OK</v>
      </c>
    </row>
    <row r="44" spans="1:30" ht="48" customHeight="1">
      <c r="A44" s="66">
        <v>36</v>
      </c>
      <c r="B44" s="99"/>
      <c r="C44" s="92"/>
      <c r="D44" s="50"/>
      <c r="E44" s="50" t="s">
        <v>512</v>
      </c>
      <c r="F44" s="132">
        <v>5761</v>
      </c>
      <c r="G44" s="132"/>
      <c r="H44" s="132"/>
      <c r="I44" s="132"/>
      <c r="J44" s="132"/>
      <c r="K44" s="176"/>
      <c r="L44" s="33">
        <v>-5761</v>
      </c>
      <c r="M44" s="34"/>
      <c r="N44" s="35"/>
      <c r="O44" s="35"/>
      <c r="P44" s="27">
        <v>-5761</v>
      </c>
      <c r="Q44" s="118"/>
      <c r="R44" s="155"/>
      <c r="S44" s="142"/>
      <c r="T44" s="66" t="s">
        <v>421</v>
      </c>
      <c r="U44" s="128">
        <f t="shared" si="6"/>
        <v>0</v>
      </c>
      <c r="AC44" s="210">
        <f t="shared" si="7"/>
        <v>0</v>
      </c>
      <c r="AD44" s="207" t="str">
        <f t="shared" si="8"/>
        <v>OK</v>
      </c>
    </row>
    <row r="45" spans="1:30" ht="48" customHeight="1" thickBot="1">
      <c r="A45" s="66">
        <v>37</v>
      </c>
      <c r="B45" s="99"/>
      <c r="C45" s="91" t="s">
        <v>793</v>
      </c>
      <c r="D45" s="63" t="s">
        <v>698</v>
      </c>
      <c r="E45" s="56"/>
      <c r="F45" s="133">
        <v>65421</v>
      </c>
      <c r="G45" s="133"/>
      <c r="H45" s="133"/>
      <c r="I45" s="133"/>
      <c r="J45" s="133"/>
      <c r="K45" s="107"/>
      <c r="L45" s="399">
        <v>-58617</v>
      </c>
      <c r="M45" s="43"/>
      <c r="N45" s="44"/>
      <c r="O45" s="44"/>
      <c r="P45" s="45">
        <v>-58617</v>
      </c>
      <c r="Q45" s="62"/>
      <c r="R45" s="150"/>
      <c r="S45" s="143" t="s">
        <v>462</v>
      </c>
      <c r="T45" s="66" t="s">
        <v>421</v>
      </c>
      <c r="U45" s="128">
        <f t="shared" si="6"/>
        <v>0</v>
      </c>
      <c r="AC45" s="210">
        <f t="shared" si="7"/>
        <v>0</v>
      </c>
      <c r="AD45" s="207" t="str">
        <f t="shared" si="8"/>
        <v>OK</v>
      </c>
    </row>
    <row r="46" spans="2:30" ht="31.5" customHeight="1" thickBot="1">
      <c r="B46" s="100"/>
      <c r="C46" s="96"/>
      <c r="D46" s="63"/>
      <c r="E46" s="57" t="s">
        <v>403</v>
      </c>
      <c r="F46" s="103">
        <f>SUM(F39:F45)</f>
        <v>148841</v>
      </c>
      <c r="G46" s="103">
        <f aca="true" t="shared" si="10" ref="G46:O46">SUM(G39:G45)</f>
        <v>0</v>
      </c>
      <c r="H46" s="103">
        <f t="shared" si="10"/>
        <v>0</v>
      </c>
      <c r="I46" s="103">
        <f t="shared" si="10"/>
        <v>0</v>
      </c>
      <c r="J46" s="103">
        <f t="shared" si="10"/>
        <v>0</v>
      </c>
      <c r="K46" s="121">
        <f t="shared" si="10"/>
        <v>0</v>
      </c>
      <c r="L46" s="97">
        <f t="shared" si="10"/>
        <v>-129256</v>
      </c>
      <c r="M46" s="101">
        <f t="shared" si="10"/>
        <v>0</v>
      </c>
      <c r="N46" s="61">
        <f t="shared" si="10"/>
        <v>-49423</v>
      </c>
      <c r="O46" s="61">
        <f t="shared" si="10"/>
        <v>0</v>
      </c>
      <c r="P46" s="64">
        <f>SUM(P39:P45)</f>
        <v>-79833</v>
      </c>
      <c r="Q46" s="68"/>
      <c r="R46" s="64"/>
      <c r="S46" s="144"/>
      <c r="U46" s="128">
        <f t="shared" si="6"/>
        <v>0</v>
      </c>
      <c r="W46" s="97">
        <f aca="true" t="shared" si="11" ref="W46:AB46">SUM(W39:W45)</f>
        <v>0</v>
      </c>
      <c r="X46" s="97">
        <f t="shared" si="11"/>
        <v>0</v>
      </c>
      <c r="Y46" s="97">
        <f t="shared" si="11"/>
        <v>0</v>
      </c>
      <c r="Z46" s="97">
        <f t="shared" si="11"/>
        <v>0</v>
      </c>
      <c r="AA46" s="97">
        <f t="shared" si="11"/>
        <v>-49423</v>
      </c>
      <c r="AB46" s="97">
        <f t="shared" si="11"/>
        <v>0</v>
      </c>
      <c r="AC46" s="210">
        <f t="shared" si="7"/>
        <v>-49423</v>
      </c>
      <c r="AD46" s="207" t="str">
        <f t="shared" si="8"/>
        <v>OK</v>
      </c>
    </row>
    <row r="47" spans="1:30" ht="55.5" customHeight="1" thickBot="1">
      <c r="A47" s="66">
        <v>38</v>
      </c>
      <c r="B47" s="151" t="s">
        <v>406</v>
      </c>
      <c r="C47" s="91" t="s">
        <v>738</v>
      </c>
      <c r="D47" s="50" t="s">
        <v>739</v>
      </c>
      <c r="E47" s="50" t="s">
        <v>740</v>
      </c>
      <c r="F47" s="132">
        <v>55019</v>
      </c>
      <c r="G47" s="132"/>
      <c r="H47" s="132"/>
      <c r="I47" s="132"/>
      <c r="J47" s="132"/>
      <c r="K47" s="176"/>
      <c r="L47" s="33">
        <v>-55019</v>
      </c>
      <c r="M47" s="34"/>
      <c r="N47" s="35"/>
      <c r="O47" s="35"/>
      <c r="P47" s="27">
        <v>-55019</v>
      </c>
      <c r="Q47" s="118"/>
      <c r="R47" s="155"/>
      <c r="S47" s="142"/>
      <c r="T47" s="66" t="s">
        <v>421</v>
      </c>
      <c r="U47" s="128">
        <f t="shared" si="6"/>
        <v>0</v>
      </c>
      <c r="AC47" s="210">
        <f t="shared" si="7"/>
        <v>0</v>
      </c>
      <c r="AD47" s="207" t="str">
        <f t="shared" si="8"/>
        <v>OK</v>
      </c>
    </row>
    <row r="48" spans="1:30" ht="54" customHeight="1">
      <c r="A48" s="66">
        <v>39</v>
      </c>
      <c r="B48" s="89"/>
      <c r="C48" s="90" t="s">
        <v>716</v>
      </c>
      <c r="D48" s="50" t="s">
        <v>748</v>
      </c>
      <c r="E48" s="50"/>
      <c r="F48" s="132">
        <v>8120231</v>
      </c>
      <c r="G48" s="193">
        <v>4435975</v>
      </c>
      <c r="H48" s="206">
        <v>994003</v>
      </c>
      <c r="I48" s="206">
        <v>2662000</v>
      </c>
      <c r="J48" s="194">
        <v>28253</v>
      </c>
      <c r="K48" s="118">
        <f aca="true" t="shared" si="12" ref="K48:K79">F48-G48-H48-I48-J48</f>
        <v>0</v>
      </c>
      <c r="L48" s="33">
        <v>-2436069</v>
      </c>
      <c r="M48" s="34">
        <v>-1330792</v>
      </c>
      <c r="N48" s="35">
        <v>-298201</v>
      </c>
      <c r="O48" s="35">
        <v>-798600</v>
      </c>
      <c r="P48" s="27">
        <v>-8476</v>
      </c>
      <c r="Q48" s="118"/>
      <c r="R48" s="155"/>
      <c r="S48" s="142" t="s">
        <v>835</v>
      </c>
      <c r="T48" s="66" t="s">
        <v>421</v>
      </c>
      <c r="U48" s="128">
        <f t="shared" si="6"/>
        <v>0</v>
      </c>
      <c r="W48" s="209">
        <v>-297870</v>
      </c>
      <c r="X48" s="209">
        <v>0</v>
      </c>
      <c r="Y48" s="208">
        <v>0</v>
      </c>
      <c r="Z48" s="208">
        <v>0</v>
      </c>
      <c r="AA48" s="208">
        <v>0</v>
      </c>
      <c r="AB48" s="208">
        <v>-331</v>
      </c>
      <c r="AC48" s="210">
        <f t="shared" si="7"/>
        <v>-298201</v>
      </c>
      <c r="AD48" s="207" t="str">
        <f t="shared" si="8"/>
        <v>OK</v>
      </c>
    </row>
    <row r="49" spans="1:30" ht="45" customHeight="1">
      <c r="A49" s="66">
        <v>40</v>
      </c>
      <c r="B49" s="99"/>
      <c r="C49" s="92"/>
      <c r="D49" s="50" t="s">
        <v>146</v>
      </c>
      <c r="E49" s="50"/>
      <c r="F49" s="132">
        <v>4395081</v>
      </c>
      <c r="G49" s="34">
        <v>0</v>
      </c>
      <c r="H49" s="35">
        <v>1650720</v>
      </c>
      <c r="I49" s="35">
        <v>2744000</v>
      </c>
      <c r="J49" s="27">
        <v>361</v>
      </c>
      <c r="K49" s="118">
        <f t="shared" si="12"/>
        <v>0</v>
      </c>
      <c r="L49" s="33">
        <f>-F49</f>
        <v>-4395081</v>
      </c>
      <c r="M49" s="34">
        <v>0</v>
      </c>
      <c r="N49" s="35">
        <v>-1650720</v>
      </c>
      <c r="O49" s="35">
        <v>-2744000</v>
      </c>
      <c r="P49" s="27">
        <v>-361</v>
      </c>
      <c r="Q49" s="118"/>
      <c r="R49" s="155"/>
      <c r="S49" s="142" t="s">
        <v>155</v>
      </c>
      <c r="T49" s="66" t="s">
        <v>421</v>
      </c>
      <c r="U49" s="128">
        <f t="shared" si="6"/>
        <v>0</v>
      </c>
      <c r="W49" s="35">
        <v>-1650720</v>
      </c>
      <c r="X49" s="209">
        <v>0</v>
      </c>
      <c r="Y49" s="208">
        <v>0</v>
      </c>
      <c r="Z49" s="208">
        <v>0</v>
      </c>
      <c r="AA49" s="208">
        <v>0</v>
      </c>
      <c r="AB49" s="208">
        <v>0</v>
      </c>
      <c r="AC49" s="210">
        <f t="shared" si="7"/>
        <v>-1650720</v>
      </c>
      <c r="AD49" s="207" t="str">
        <f t="shared" si="8"/>
        <v>OK</v>
      </c>
    </row>
    <row r="50" spans="1:30" ht="36" customHeight="1">
      <c r="A50" s="66">
        <v>41</v>
      </c>
      <c r="B50" s="99"/>
      <c r="C50" s="90" t="s">
        <v>147</v>
      </c>
      <c r="D50" s="50" t="s">
        <v>148</v>
      </c>
      <c r="E50" s="50"/>
      <c r="F50" s="132">
        <v>4595845</v>
      </c>
      <c r="G50" s="34">
        <v>2407376</v>
      </c>
      <c r="H50" s="35">
        <v>598517</v>
      </c>
      <c r="I50" s="35">
        <v>1584800</v>
      </c>
      <c r="J50" s="27">
        <v>5152</v>
      </c>
      <c r="K50" s="118">
        <f t="shared" si="12"/>
        <v>0</v>
      </c>
      <c r="L50" s="33">
        <v>-1378753</v>
      </c>
      <c r="M50" s="34">
        <v>-722212</v>
      </c>
      <c r="N50" s="35">
        <v>-179555</v>
      </c>
      <c r="O50" s="35">
        <v>-475400</v>
      </c>
      <c r="P50" s="27">
        <v>-1586</v>
      </c>
      <c r="Q50" s="118"/>
      <c r="R50" s="155"/>
      <c r="S50" s="142" t="s">
        <v>514</v>
      </c>
      <c r="T50" s="66" t="s">
        <v>421</v>
      </c>
      <c r="U50" s="128">
        <f t="shared" si="6"/>
        <v>0</v>
      </c>
      <c r="W50" s="35">
        <v>-179555</v>
      </c>
      <c r="X50" s="209">
        <v>0</v>
      </c>
      <c r="Y50" s="208">
        <v>0</v>
      </c>
      <c r="Z50" s="208">
        <v>0</v>
      </c>
      <c r="AA50" s="208">
        <v>0</v>
      </c>
      <c r="AB50" s="208">
        <v>0</v>
      </c>
      <c r="AC50" s="210">
        <f t="shared" si="7"/>
        <v>-179555</v>
      </c>
      <c r="AD50" s="207" t="str">
        <f t="shared" si="8"/>
        <v>OK</v>
      </c>
    </row>
    <row r="51" spans="1:30" ht="42" customHeight="1">
      <c r="A51" s="66">
        <v>42</v>
      </c>
      <c r="B51" s="99"/>
      <c r="C51" s="93" t="s">
        <v>714</v>
      </c>
      <c r="D51" s="38" t="s">
        <v>715</v>
      </c>
      <c r="E51" s="50"/>
      <c r="F51" s="132">
        <v>36128</v>
      </c>
      <c r="G51" s="34">
        <v>17807</v>
      </c>
      <c r="H51" s="35">
        <v>0</v>
      </c>
      <c r="I51" s="35">
        <v>0</v>
      </c>
      <c r="J51" s="27">
        <v>18321</v>
      </c>
      <c r="K51" s="118">
        <f t="shared" si="12"/>
        <v>0</v>
      </c>
      <c r="L51" s="33">
        <v>-10838</v>
      </c>
      <c r="M51" s="34">
        <v>-5342</v>
      </c>
      <c r="N51" s="35">
        <v>0</v>
      </c>
      <c r="O51" s="35">
        <v>0</v>
      </c>
      <c r="P51" s="27">
        <v>-5496</v>
      </c>
      <c r="Q51" s="118"/>
      <c r="R51" s="155"/>
      <c r="S51" s="142" t="s">
        <v>514</v>
      </c>
      <c r="T51" s="66" t="s">
        <v>421</v>
      </c>
      <c r="U51" s="128">
        <f t="shared" si="6"/>
        <v>0</v>
      </c>
      <c r="W51" s="209">
        <v>0</v>
      </c>
      <c r="X51" s="209">
        <v>0</v>
      </c>
      <c r="Y51" s="208">
        <v>0</v>
      </c>
      <c r="Z51" s="208">
        <v>0</v>
      </c>
      <c r="AA51" s="208">
        <v>0</v>
      </c>
      <c r="AB51" s="208">
        <v>0</v>
      </c>
      <c r="AC51" s="210">
        <f t="shared" si="7"/>
        <v>0</v>
      </c>
      <c r="AD51" s="207" t="str">
        <f t="shared" si="8"/>
        <v>OK</v>
      </c>
    </row>
    <row r="52" spans="1:30" ht="41.25" customHeight="1">
      <c r="A52" s="66">
        <v>43</v>
      </c>
      <c r="B52" s="99"/>
      <c r="C52" s="90" t="s">
        <v>149</v>
      </c>
      <c r="D52" s="56" t="s">
        <v>150</v>
      </c>
      <c r="E52" s="50" t="s">
        <v>151</v>
      </c>
      <c r="F52" s="132">
        <v>903203</v>
      </c>
      <c r="G52" s="34">
        <v>447052</v>
      </c>
      <c r="H52" s="35">
        <v>89412</v>
      </c>
      <c r="I52" s="35">
        <v>355500</v>
      </c>
      <c r="J52" s="27">
        <v>11239</v>
      </c>
      <c r="K52" s="118">
        <f t="shared" si="12"/>
        <v>0</v>
      </c>
      <c r="L52" s="33">
        <v>-451602</v>
      </c>
      <c r="M52" s="34">
        <v>-223526</v>
      </c>
      <c r="N52" s="35">
        <v>-44706</v>
      </c>
      <c r="O52" s="35">
        <v>-177700</v>
      </c>
      <c r="P52" s="27">
        <v>-5670</v>
      </c>
      <c r="Q52" s="118"/>
      <c r="R52" s="155"/>
      <c r="S52" s="142" t="s">
        <v>78</v>
      </c>
      <c r="T52" s="66" t="s">
        <v>421</v>
      </c>
      <c r="U52" s="128">
        <f t="shared" si="6"/>
        <v>0</v>
      </c>
      <c r="W52" s="35">
        <v>-44706</v>
      </c>
      <c r="X52" s="209">
        <v>0</v>
      </c>
      <c r="Y52" s="209">
        <v>0</v>
      </c>
      <c r="Z52" s="209">
        <v>0</v>
      </c>
      <c r="AA52" s="209">
        <v>0</v>
      </c>
      <c r="AB52" s="209">
        <v>0</v>
      </c>
      <c r="AC52" s="210">
        <f t="shared" si="7"/>
        <v>-44706</v>
      </c>
      <c r="AD52" s="207" t="str">
        <f t="shared" si="8"/>
        <v>OK</v>
      </c>
    </row>
    <row r="53" spans="1:30" ht="36.75" customHeight="1">
      <c r="A53" s="66">
        <v>44</v>
      </c>
      <c r="B53" s="99"/>
      <c r="C53" s="92"/>
      <c r="D53" s="50"/>
      <c r="E53" s="50" t="s">
        <v>152</v>
      </c>
      <c r="F53" s="132">
        <f>1364820-F52</f>
        <v>461617</v>
      </c>
      <c r="G53" s="34">
        <f>647001-G52</f>
        <v>199949</v>
      </c>
      <c r="H53" s="35">
        <f>89412-H52</f>
        <v>0</v>
      </c>
      <c r="I53" s="35">
        <f>562400-I52</f>
        <v>206900</v>
      </c>
      <c r="J53" s="27">
        <f>66007-J52</f>
        <v>54768</v>
      </c>
      <c r="K53" s="118">
        <f t="shared" si="12"/>
        <v>0</v>
      </c>
      <c r="L53" s="33">
        <v>-138485</v>
      </c>
      <c r="M53" s="34">
        <v>-59984</v>
      </c>
      <c r="N53" s="35">
        <v>0</v>
      </c>
      <c r="O53" s="35">
        <v>-62000</v>
      </c>
      <c r="P53" s="27">
        <v>-16501</v>
      </c>
      <c r="Q53" s="118"/>
      <c r="R53" s="155"/>
      <c r="S53" s="142" t="s">
        <v>516</v>
      </c>
      <c r="T53" s="66" t="s">
        <v>421</v>
      </c>
      <c r="U53" s="128">
        <f t="shared" si="6"/>
        <v>0</v>
      </c>
      <c r="W53" s="48">
        <v>0</v>
      </c>
      <c r="X53" s="156">
        <v>0</v>
      </c>
      <c r="Y53" s="156"/>
      <c r="Z53" s="156">
        <v>0</v>
      </c>
      <c r="AA53" s="156">
        <v>0</v>
      </c>
      <c r="AB53" s="156"/>
      <c r="AC53" s="210">
        <f t="shared" si="7"/>
        <v>0</v>
      </c>
      <c r="AD53" s="207" t="str">
        <f t="shared" si="8"/>
        <v>OK</v>
      </c>
    </row>
    <row r="54" spans="1:30" ht="45.75" customHeight="1" thickBot="1">
      <c r="A54" s="66">
        <v>45</v>
      </c>
      <c r="B54" s="99"/>
      <c r="C54" s="90" t="s">
        <v>153</v>
      </c>
      <c r="D54" s="51" t="s">
        <v>154</v>
      </c>
      <c r="E54" s="50"/>
      <c r="F54" s="132">
        <v>1409403</v>
      </c>
      <c r="G54" s="203">
        <v>813522</v>
      </c>
      <c r="H54" s="204">
        <v>54142</v>
      </c>
      <c r="I54" s="204">
        <v>526500</v>
      </c>
      <c r="J54" s="205">
        <v>15239</v>
      </c>
      <c r="K54" s="118">
        <f t="shared" si="12"/>
        <v>0</v>
      </c>
      <c r="L54" s="33">
        <v>-422821</v>
      </c>
      <c r="M54" s="34">
        <v>-244057</v>
      </c>
      <c r="N54" s="35">
        <v>-16243</v>
      </c>
      <c r="O54" s="35">
        <v>-157900</v>
      </c>
      <c r="P54" s="27">
        <v>-4621</v>
      </c>
      <c r="Q54" s="118"/>
      <c r="R54" s="155"/>
      <c r="S54" s="142" t="s">
        <v>17</v>
      </c>
      <c r="T54" s="66" t="s">
        <v>421</v>
      </c>
      <c r="U54" s="128">
        <f t="shared" si="6"/>
        <v>0</v>
      </c>
      <c r="W54" s="48">
        <v>-16243</v>
      </c>
      <c r="X54" s="156">
        <v>0</v>
      </c>
      <c r="Y54" s="156">
        <v>0</v>
      </c>
      <c r="Z54" s="156">
        <v>0</v>
      </c>
      <c r="AA54" s="156">
        <v>0</v>
      </c>
      <c r="AB54" s="156">
        <v>0</v>
      </c>
      <c r="AC54" s="210">
        <f t="shared" si="7"/>
        <v>-16243</v>
      </c>
      <c r="AD54" s="207" t="str">
        <f t="shared" si="8"/>
        <v>OK</v>
      </c>
    </row>
    <row r="55" spans="2:30" ht="31.5" customHeight="1" thickBot="1">
      <c r="B55" s="95"/>
      <c r="C55" s="96"/>
      <c r="D55" s="57"/>
      <c r="E55" s="57" t="s">
        <v>403</v>
      </c>
      <c r="F55" s="103">
        <f>SUM(F47:F54)</f>
        <v>19976527</v>
      </c>
      <c r="G55" s="103">
        <f>SUM(G47:G54)</f>
        <v>8321681</v>
      </c>
      <c r="H55" s="103">
        <f>SUM(H47:H54)</f>
        <v>3386794</v>
      </c>
      <c r="I55" s="103">
        <f>SUM(I47:I54)</f>
        <v>8079700</v>
      </c>
      <c r="J55" s="103">
        <f>SUM(J47:J54)</f>
        <v>133333</v>
      </c>
      <c r="K55" s="118">
        <f t="shared" si="12"/>
        <v>55019</v>
      </c>
      <c r="L55" s="97">
        <f>SUM(L47:L54)</f>
        <v>-9288668</v>
      </c>
      <c r="M55" s="101">
        <f>SUM(M47:M54)</f>
        <v>-2585913</v>
      </c>
      <c r="N55" s="61">
        <f>SUM(N47:N54)</f>
        <v>-2189425</v>
      </c>
      <c r="O55" s="61">
        <f>SUM(O47:O54)</f>
        <v>-4415600</v>
      </c>
      <c r="P55" s="64">
        <f>SUM(P47:P54)</f>
        <v>-97730</v>
      </c>
      <c r="Q55" s="68"/>
      <c r="R55" s="64"/>
      <c r="S55" s="144"/>
      <c r="U55" s="128">
        <f t="shared" si="6"/>
        <v>0</v>
      </c>
      <c r="W55" s="97">
        <f aca="true" t="shared" si="13" ref="W55:AB55">SUM(W47:W54)</f>
        <v>-2189094</v>
      </c>
      <c r="X55" s="97">
        <f t="shared" si="13"/>
        <v>0</v>
      </c>
      <c r="Y55" s="97">
        <f t="shared" si="13"/>
        <v>0</v>
      </c>
      <c r="Z55" s="97">
        <f t="shared" si="13"/>
        <v>0</v>
      </c>
      <c r="AA55" s="97">
        <f t="shared" si="13"/>
        <v>0</v>
      </c>
      <c r="AB55" s="97">
        <f t="shared" si="13"/>
        <v>-331</v>
      </c>
      <c r="AC55" s="210">
        <f t="shared" si="7"/>
        <v>-2189425</v>
      </c>
      <c r="AD55" s="207" t="str">
        <f t="shared" si="8"/>
        <v>OK</v>
      </c>
    </row>
    <row r="56" spans="1:30" ht="51.75" customHeight="1" thickBot="1">
      <c r="A56" s="66">
        <v>46</v>
      </c>
      <c r="B56" s="88" t="s">
        <v>169</v>
      </c>
      <c r="C56" s="98" t="s">
        <v>170</v>
      </c>
      <c r="D56" s="51" t="s">
        <v>382</v>
      </c>
      <c r="E56" s="38" t="s">
        <v>779</v>
      </c>
      <c r="F56" s="131">
        <v>3094705</v>
      </c>
      <c r="G56" s="131"/>
      <c r="H56" s="131"/>
      <c r="I56" s="131"/>
      <c r="J56" s="131"/>
      <c r="K56" s="118">
        <f t="shared" si="12"/>
        <v>3094705</v>
      </c>
      <c r="L56" s="26">
        <v>-1547000</v>
      </c>
      <c r="M56" s="47"/>
      <c r="N56" s="48"/>
      <c r="O56" s="48"/>
      <c r="P56" s="49">
        <v>-1547000</v>
      </c>
      <c r="Q56" s="119"/>
      <c r="R56" s="149"/>
      <c r="S56" s="129" t="s">
        <v>464</v>
      </c>
      <c r="T56" s="66" t="s">
        <v>421</v>
      </c>
      <c r="U56" s="128">
        <f t="shared" si="6"/>
        <v>0</v>
      </c>
      <c r="X56" s="25"/>
      <c r="AC56" s="210">
        <f t="shared" si="7"/>
        <v>0</v>
      </c>
      <c r="AD56" s="207" t="str">
        <f t="shared" si="8"/>
        <v>OK</v>
      </c>
    </row>
    <row r="57" spans="1:30" ht="38.25" customHeight="1" thickBot="1">
      <c r="A57" s="66">
        <v>47</v>
      </c>
      <c r="B57" s="89"/>
      <c r="C57" s="91"/>
      <c r="D57" s="51" t="s">
        <v>383</v>
      </c>
      <c r="E57" s="38"/>
      <c r="F57" s="131">
        <v>291348</v>
      </c>
      <c r="G57" s="60"/>
      <c r="H57" s="61">
        <v>4116</v>
      </c>
      <c r="I57" s="61"/>
      <c r="J57" s="199">
        <v>287232</v>
      </c>
      <c r="K57" s="118">
        <f t="shared" si="12"/>
        <v>0</v>
      </c>
      <c r="L57" s="33">
        <v>-116539</v>
      </c>
      <c r="M57" s="47"/>
      <c r="N57" s="48">
        <v>-1646</v>
      </c>
      <c r="O57" s="48"/>
      <c r="P57" s="49">
        <v>-114893</v>
      </c>
      <c r="Q57" s="119"/>
      <c r="R57" s="149"/>
      <c r="S57" s="129" t="s">
        <v>16</v>
      </c>
      <c r="T57" s="66" t="s">
        <v>421</v>
      </c>
      <c r="U57" s="128">
        <f t="shared" si="6"/>
        <v>0</v>
      </c>
      <c r="W57" s="66">
        <v>0</v>
      </c>
      <c r="X57" s="35">
        <v>-326</v>
      </c>
      <c r="Y57" s="66">
        <v>0</v>
      </c>
      <c r="Z57" s="66">
        <v>0</v>
      </c>
      <c r="AA57" s="66">
        <v>0</v>
      </c>
      <c r="AB57" s="35">
        <v>-1320</v>
      </c>
      <c r="AC57" s="210">
        <f t="shared" si="7"/>
        <v>-1646</v>
      </c>
      <c r="AD57" s="207" t="str">
        <f t="shared" si="8"/>
        <v>OK</v>
      </c>
    </row>
    <row r="58" spans="1:30" ht="37.5" customHeight="1">
      <c r="A58" s="66">
        <v>48</v>
      </c>
      <c r="B58" s="89"/>
      <c r="C58" s="90" t="s">
        <v>31</v>
      </c>
      <c r="D58" s="51" t="s">
        <v>32</v>
      </c>
      <c r="E58" s="38" t="s">
        <v>743</v>
      </c>
      <c r="F58" s="131">
        <v>3571777</v>
      </c>
      <c r="G58" s="131"/>
      <c r="H58" s="131"/>
      <c r="I58" s="131"/>
      <c r="J58" s="131"/>
      <c r="K58" s="118">
        <f t="shared" si="12"/>
        <v>3571777</v>
      </c>
      <c r="L58" s="26">
        <v>-3571777</v>
      </c>
      <c r="M58" s="47"/>
      <c r="N58" s="48"/>
      <c r="O58" s="48"/>
      <c r="P58" s="49">
        <v>-3571777</v>
      </c>
      <c r="Q58" s="119"/>
      <c r="R58" s="149"/>
      <c r="S58" s="129" t="s">
        <v>745</v>
      </c>
      <c r="T58" s="66" t="s">
        <v>752</v>
      </c>
      <c r="U58" s="128">
        <f t="shared" si="6"/>
        <v>0</v>
      </c>
      <c r="AC58" s="210">
        <f t="shared" si="7"/>
        <v>0</v>
      </c>
      <c r="AD58" s="207" t="str">
        <f t="shared" si="8"/>
        <v>OK</v>
      </c>
    </row>
    <row r="59" spans="1:30" ht="50.25" customHeight="1">
      <c r="A59" s="66">
        <v>49</v>
      </c>
      <c r="B59" s="99"/>
      <c r="C59" s="91"/>
      <c r="D59" s="56"/>
      <c r="E59" s="38" t="s">
        <v>744</v>
      </c>
      <c r="F59" s="131">
        <v>55621</v>
      </c>
      <c r="G59" s="131"/>
      <c r="H59" s="131"/>
      <c r="I59" s="131"/>
      <c r="J59" s="131"/>
      <c r="K59" s="118">
        <f t="shared" si="12"/>
        <v>55621</v>
      </c>
      <c r="L59" s="26">
        <v>-55621</v>
      </c>
      <c r="M59" s="47"/>
      <c r="N59" s="48"/>
      <c r="O59" s="48"/>
      <c r="P59" s="49">
        <v>-55621</v>
      </c>
      <c r="Q59" s="119"/>
      <c r="R59" s="149"/>
      <c r="S59" s="129"/>
      <c r="T59" s="66" t="s">
        <v>421</v>
      </c>
      <c r="U59" s="128">
        <f t="shared" si="6"/>
        <v>0</v>
      </c>
      <c r="AC59" s="210">
        <f t="shared" si="7"/>
        <v>0</v>
      </c>
      <c r="AD59" s="207" t="str">
        <f t="shared" si="8"/>
        <v>OK</v>
      </c>
    </row>
    <row r="60" spans="1:30" ht="50.25" customHeight="1">
      <c r="A60" s="66">
        <v>50</v>
      </c>
      <c r="B60" s="99"/>
      <c r="C60" s="91"/>
      <c r="D60" s="56"/>
      <c r="E60" s="38" t="s">
        <v>195</v>
      </c>
      <c r="F60" s="131">
        <v>4073</v>
      </c>
      <c r="G60" s="131"/>
      <c r="H60" s="131"/>
      <c r="I60" s="131"/>
      <c r="J60" s="131"/>
      <c r="K60" s="118">
        <f t="shared" si="12"/>
        <v>4073</v>
      </c>
      <c r="L60" s="26">
        <v>-4073</v>
      </c>
      <c r="M60" s="47"/>
      <c r="N60" s="48"/>
      <c r="O60" s="48"/>
      <c r="P60" s="49">
        <v>-4073</v>
      </c>
      <c r="Q60" s="119"/>
      <c r="R60" s="149"/>
      <c r="S60" s="129"/>
      <c r="T60" s="66" t="s">
        <v>421</v>
      </c>
      <c r="U60" s="128">
        <f t="shared" si="6"/>
        <v>0</v>
      </c>
      <c r="AC60" s="210">
        <f t="shared" si="7"/>
        <v>0</v>
      </c>
      <c r="AD60" s="207" t="str">
        <f t="shared" si="8"/>
        <v>OK</v>
      </c>
    </row>
    <row r="61" spans="1:30" ht="50.25" customHeight="1">
      <c r="A61" s="66">
        <v>51</v>
      </c>
      <c r="B61" s="99"/>
      <c r="C61" s="91"/>
      <c r="D61" s="56"/>
      <c r="E61" s="38" t="s">
        <v>690</v>
      </c>
      <c r="F61" s="131">
        <v>1121</v>
      </c>
      <c r="G61" s="131"/>
      <c r="H61" s="131"/>
      <c r="I61" s="131"/>
      <c r="J61" s="131"/>
      <c r="K61" s="118">
        <f t="shared" si="12"/>
        <v>1121</v>
      </c>
      <c r="L61" s="26">
        <v>-1121</v>
      </c>
      <c r="M61" s="47"/>
      <c r="N61" s="48"/>
      <c r="O61" s="48"/>
      <c r="P61" s="49">
        <v>-1121</v>
      </c>
      <c r="Q61" s="119"/>
      <c r="R61" s="149"/>
      <c r="S61" s="129"/>
      <c r="T61" s="66" t="s">
        <v>421</v>
      </c>
      <c r="U61" s="128">
        <f t="shared" si="6"/>
        <v>0</v>
      </c>
      <c r="AC61" s="210">
        <f t="shared" si="7"/>
        <v>0</v>
      </c>
      <c r="AD61" s="207" t="str">
        <f t="shared" si="8"/>
        <v>OK</v>
      </c>
    </row>
    <row r="62" spans="1:30" ht="50.25" customHeight="1">
      <c r="A62" s="66">
        <v>52</v>
      </c>
      <c r="B62" s="99"/>
      <c r="C62" s="91"/>
      <c r="D62" s="56"/>
      <c r="E62" s="38" t="s">
        <v>691</v>
      </c>
      <c r="F62" s="131">
        <v>1013</v>
      </c>
      <c r="G62" s="131"/>
      <c r="H62" s="131"/>
      <c r="I62" s="131"/>
      <c r="J62" s="131"/>
      <c r="K62" s="118">
        <f t="shared" si="12"/>
        <v>1013</v>
      </c>
      <c r="L62" s="26">
        <v>-1013</v>
      </c>
      <c r="M62" s="47"/>
      <c r="N62" s="48"/>
      <c r="O62" s="48"/>
      <c r="P62" s="49">
        <v>-1013</v>
      </c>
      <c r="Q62" s="119"/>
      <c r="R62" s="149"/>
      <c r="S62" s="129"/>
      <c r="T62" s="66" t="s">
        <v>421</v>
      </c>
      <c r="U62" s="128">
        <f t="shared" si="6"/>
        <v>0</v>
      </c>
      <c r="AC62" s="210">
        <f t="shared" si="7"/>
        <v>0</v>
      </c>
      <c r="AD62" s="207" t="str">
        <f t="shared" si="8"/>
        <v>OK</v>
      </c>
    </row>
    <row r="63" spans="1:30" ht="57" customHeight="1">
      <c r="A63" s="66">
        <v>53</v>
      </c>
      <c r="B63" s="99"/>
      <c r="C63" s="91"/>
      <c r="D63" s="50"/>
      <c r="E63" s="51" t="s">
        <v>839</v>
      </c>
      <c r="F63" s="134">
        <v>440</v>
      </c>
      <c r="G63" s="134"/>
      <c r="H63" s="134"/>
      <c r="I63" s="134"/>
      <c r="J63" s="134"/>
      <c r="K63" s="118">
        <f t="shared" si="12"/>
        <v>440</v>
      </c>
      <c r="L63" s="30">
        <v>-440</v>
      </c>
      <c r="M63" s="52"/>
      <c r="N63" s="53"/>
      <c r="O63" s="53"/>
      <c r="P63" s="36">
        <v>-440</v>
      </c>
      <c r="Q63" s="120"/>
      <c r="R63" s="67"/>
      <c r="S63" s="145"/>
      <c r="T63" s="66" t="s">
        <v>421</v>
      </c>
      <c r="U63" s="128">
        <f t="shared" si="6"/>
        <v>0</v>
      </c>
      <c r="AC63" s="210">
        <f t="shared" si="7"/>
        <v>0</v>
      </c>
      <c r="AD63" s="207" t="str">
        <f t="shared" si="8"/>
        <v>OK</v>
      </c>
    </row>
    <row r="64" spans="1:30" ht="50.25" customHeight="1" thickBot="1">
      <c r="A64" s="66">
        <v>54</v>
      </c>
      <c r="B64" s="99"/>
      <c r="C64" s="91"/>
      <c r="D64" s="51" t="s">
        <v>39</v>
      </c>
      <c r="E64" s="51" t="s">
        <v>33</v>
      </c>
      <c r="F64" s="134">
        <v>63340</v>
      </c>
      <c r="G64" s="134"/>
      <c r="H64" s="134"/>
      <c r="I64" s="134"/>
      <c r="J64" s="134"/>
      <c r="K64" s="118">
        <f t="shared" si="12"/>
        <v>63340</v>
      </c>
      <c r="L64" s="30">
        <v>-32000</v>
      </c>
      <c r="M64" s="52"/>
      <c r="N64" s="53"/>
      <c r="O64" s="53"/>
      <c r="P64" s="67">
        <v>-32000</v>
      </c>
      <c r="Q64" s="120"/>
      <c r="R64" s="67"/>
      <c r="S64" s="145" t="s">
        <v>34</v>
      </c>
      <c r="T64" s="66" t="s">
        <v>421</v>
      </c>
      <c r="U64" s="128">
        <f t="shared" si="6"/>
        <v>0</v>
      </c>
      <c r="AC64" s="210">
        <f t="shared" si="7"/>
        <v>0</v>
      </c>
      <c r="AD64" s="207" t="str">
        <f t="shared" si="8"/>
        <v>OK</v>
      </c>
    </row>
    <row r="65" spans="2:30" ht="37.5" customHeight="1" thickBot="1">
      <c r="B65" s="95"/>
      <c r="C65" s="96"/>
      <c r="D65" s="57"/>
      <c r="E65" s="57" t="s">
        <v>403</v>
      </c>
      <c r="F65" s="103">
        <f>SUM(F56:F64)</f>
        <v>7083438</v>
      </c>
      <c r="G65" s="103"/>
      <c r="H65" s="103"/>
      <c r="I65" s="103"/>
      <c r="J65" s="103"/>
      <c r="K65" s="118">
        <f t="shared" si="12"/>
        <v>7083438</v>
      </c>
      <c r="L65" s="59">
        <f>SUM(L56:L64)</f>
        <v>-5329584</v>
      </c>
      <c r="M65" s="101">
        <f>SUM(M56:M64)</f>
        <v>0</v>
      </c>
      <c r="N65" s="61">
        <f>SUM(N56:N64)</f>
        <v>-1646</v>
      </c>
      <c r="O65" s="61">
        <f>SUM(O56:O64)</f>
        <v>0</v>
      </c>
      <c r="P65" s="64">
        <f>SUM(P56:P64)</f>
        <v>-5327938</v>
      </c>
      <c r="Q65" s="68"/>
      <c r="R65" s="64"/>
      <c r="S65" s="144"/>
      <c r="U65" s="128">
        <f t="shared" si="6"/>
        <v>0</v>
      </c>
      <c r="W65" s="59">
        <f aca="true" t="shared" si="14" ref="W65:AB65">SUM(W56:W64)</f>
        <v>0</v>
      </c>
      <c r="X65" s="59">
        <f t="shared" si="14"/>
        <v>-326</v>
      </c>
      <c r="Y65" s="59">
        <f t="shared" si="14"/>
        <v>0</v>
      </c>
      <c r="Z65" s="59">
        <f t="shared" si="14"/>
        <v>0</v>
      </c>
      <c r="AA65" s="59">
        <f t="shared" si="14"/>
        <v>0</v>
      </c>
      <c r="AB65" s="59">
        <f t="shared" si="14"/>
        <v>-1320</v>
      </c>
      <c r="AC65" s="210">
        <f t="shared" si="7"/>
        <v>-1646</v>
      </c>
      <c r="AD65" s="207" t="str">
        <f t="shared" si="8"/>
        <v>OK</v>
      </c>
    </row>
    <row r="66" spans="1:30" ht="72.75" customHeight="1">
      <c r="A66" s="66">
        <v>55</v>
      </c>
      <c r="B66" s="102" t="s">
        <v>285</v>
      </c>
      <c r="C66" s="98" t="s">
        <v>392</v>
      </c>
      <c r="D66" s="38" t="s">
        <v>444</v>
      </c>
      <c r="E66" s="38"/>
      <c r="F66" s="131">
        <v>2981314</v>
      </c>
      <c r="G66" s="131"/>
      <c r="H66" s="131"/>
      <c r="I66" s="131"/>
      <c r="J66" s="131"/>
      <c r="K66" s="118">
        <f t="shared" si="12"/>
        <v>2981314</v>
      </c>
      <c r="L66" s="26">
        <v>-1490657</v>
      </c>
      <c r="M66" s="47"/>
      <c r="N66" s="48"/>
      <c r="O66" s="48"/>
      <c r="P66" s="49">
        <v>-1490657</v>
      </c>
      <c r="Q66" s="119"/>
      <c r="R66" s="149"/>
      <c r="S66" s="129" t="s">
        <v>291</v>
      </c>
      <c r="T66" s="66" t="s">
        <v>421</v>
      </c>
      <c r="U66" s="128">
        <f t="shared" si="6"/>
        <v>0</v>
      </c>
      <c r="W66" s="25"/>
      <c r="AA66" s="48"/>
      <c r="AC66" s="210">
        <f t="shared" si="7"/>
        <v>0</v>
      </c>
      <c r="AD66" s="207" t="str">
        <f t="shared" si="8"/>
        <v>OK</v>
      </c>
    </row>
    <row r="67" spans="1:30" ht="63" customHeight="1">
      <c r="A67" s="66">
        <v>56</v>
      </c>
      <c r="B67" s="89"/>
      <c r="C67" s="90" t="s">
        <v>782</v>
      </c>
      <c r="D67" s="38" t="s">
        <v>712</v>
      </c>
      <c r="E67" s="38"/>
      <c r="F67" s="131">
        <v>281532</v>
      </c>
      <c r="G67" s="131"/>
      <c r="H67" s="131">
        <v>24527</v>
      </c>
      <c r="I67" s="131"/>
      <c r="J67" s="131">
        <v>257005</v>
      </c>
      <c r="K67" s="118">
        <f t="shared" si="12"/>
        <v>0</v>
      </c>
      <c r="L67" s="33">
        <v>-98500</v>
      </c>
      <c r="M67" s="34">
        <f>-G67*0.35</f>
        <v>0</v>
      </c>
      <c r="N67" s="35">
        <v>-8581</v>
      </c>
      <c r="O67" s="35">
        <f>-I67*0.35</f>
        <v>0</v>
      </c>
      <c r="P67" s="27">
        <v>-89919</v>
      </c>
      <c r="Q67" s="119"/>
      <c r="R67" s="149"/>
      <c r="S67" s="129" t="s">
        <v>292</v>
      </c>
      <c r="T67" s="66" t="s">
        <v>421</v>
      </c>
      <c r="U67" s="128">
        <f t="shared" si="6"/>
        <v>0</v>
      </c>
      <c r="W67" s="66">
        <v>-5433</v>
      </c>
      <c r="X67" s="66">
        <v>-2800</v>
      </c>
      <c r="AB67" s="66">
        <v>-348</v>
      </c>
      <c r="AC67" s="210">
        <f t="shared" si="7"/>
        <v>-8581</v>
      </c>
      <c r="AD67" s="207" t="str">
        <f t="shared" si="8"/>
        <v>OK</v>
      </c>
    </row>
    <row r="68" spans="1:30" ht="50.25" customHeight="1">
      <c r="A68" s="66">
        <v>57</v>
      </c>
      <c r="B68" s="99"/>
      <c r="D68" s="38" t="s">
        <v>73</v>
      </c>
      <c r="E68" s="38" t="s">
        <v>76</v>
      </c>
      <c r="F68" s="131">
        <v>3827390</v>
      </c>
      <c r="G68" s="131"/>
      <c r="H68" s="131"/>
      <c r="I68" s="131"/>
      <c r="J68" s="131"/>
      <c r="K68" s="118">
        <f t="shared" si="12"/>
        <v>3827390</v>
      </c>
      <c r="L68" s="26">
        <v>-3827390</v>
      </c>
      <c r="M68" s="47"/>
      <c r="N68" s="48"/>
      <c r="O68" s="48">
        <v>-3826600</v>
      </c>
      <c r="P68" s="49">
        <v>-790</v>
      </c>
      <c r="Q68" s="119"/>
      <c r="R68" s="149"/>
      <c r="S68" s="129" t="s">
        <v>74</v>
      </c>
      <c r="T68" s="66" t="s">
        <v>421</v>
      </c>
      <c r="U68" s="128">
        <f t="shared" si="6"/>
        <v>0</v>
      </c>
      <c r="W68" s="25"/>
      <c r="AC68" s="210">
        <f t="shared" si="7"/>
        <v>0</v>
      </c>
      <c r="AD68" s="207" t="str">
        <f t="shared" si="8"/>
        <v>OK</v>
      </c>
    </row>
    <row r="69" spans="1:30" ht="50.25" customHeight="1">
      <c r="A69" s="66">
        <v>58</v>
      </c>
      <c r="B69" s="99"/>
      <c r="C69" s="91"/>
      <c r="D69" s="51" t="s">
        <v>372</v>
      </c>
      <c r="E69" s="38" t="s">
        <v>520</v>
      </c>
      <c r="F69" s="131">
        <v>382000</v>
      </c>
      <c r="G69" s="131"/>
      <c r="H69" s="131"/>
      <c r="I69" s="131"/>
      <c r="J69" s="131"/>
      <c r="K69" s="118">
        <f t="shared" si="12"/>
        <v>382000</v>
      </c>
      <c r="L69" s="26">
        <v>-382000</v>
      </c>
      <c r="M69" s="47"/>
      <c r="N69" s="48">
        <v>-382000</v>
      </c>
      <c r="O69" s="48"/>
      <c r="P69" s="49"/>
      <c r="Q69" s="119"/>
      <c r="R69" s="149"/>
      <c r="S69" s="129" t="s">
        <v>36</v>
      </c>
      <c r="T69" s="66" t="s">
        <v>421</v>
      </c>
      <c r="U69" s="128">
        <f aca="true" t="shared" si="15" ref="U69:U100">L69-M69-N69-O69-P69</f>
        <v>0</v>
      </c>
      <c r="W69" s="25"/>
      <c r="AB69" s="48">
        <v>-382000</v>
      </c>
      <c r="AC69" s="210">
        <f aca="true" t="shared" si="16" ref="AC69:AC100">SUM(W69:AB69)</f>
        <v>-382000</v>
      </c>
      <c r="AD69" s="207" t="str">
        <f aca="true" t="shared" si="17" ref="AD69:AD100">IF(N69=AC69,"OK","OUT")</f>
        <v>OK</v>
      </c>
    </row>
    <row r="70" spans="1:30" ht="50.25" customHeight="1">
      <c r="A70" s="66">
        <v>59</v>
      </c>
      <c r="B70" s="99"/>
      <c r="C70" s="91"/>
      <c r="D70" s="56"/>
      <c r="E70" s="38" t="s">
        <v>372</v>
      </c>
      <c r="F70" s="131">
        <v>780</v>
      </c>
      <c r="G70" s="131"/>
      <c r="H70" s="131"/>
      <c r="I70" s="131"/>
      <c r="J70" s="131"/>
      <c r="K70" s="118">
        <f t="shared" si="12"/>
        <v>780</v>
      </c>
      <c r="L70" s="26">
        <v>-780</v>
      </c>
      <c r="M70" s="47"/>
      <c r="N70" s="48"/>
      <c r="O70" s="48"/>
      <c r="P70" s="49">
        <v>-780</v>
      </c>
      <c r="Q70" s="119"/>
      <c r="R70" s="149"/>
      <c r="S70" s="129"/>
      <c r="T70" s="66" t="s">
        <v>421</v>
      </c>
      <c r="U70" s="128">
        <f t="shared" si="15"/>
        <v>0</v>
      </c>
      <c r="W70" s="25"/>
      <c r="AC70" s="210">
        <f t="shared" si="16"/>
        <v>0</v>
      </c>
      <c r="AD70" s="207" t="str">
        <f t="shared" si="17"/>
        <v>OK</v>
      </c>
    </row>
    <row r="71" spans="1:30" ht="50.25" customHeight="1">
      <c r="A71" s="66">
        <v>60</v>
      </c>
      <c r="B71" s="99"/>
      <c r="C71" s="91"/>
      <c r="D71" s="51" t="s">
        <v>202</v>
      </c>
      <c r="E71" s="38" t="s">
        <v>417</v>
      </c>
      <c r="F71" s="131">
        <v>189000</v>
      </c>
      <c r="G71" s="47"/>
      <c r="H71" s="48"/>
      <c r="I71" s="48"/>
      <c r="J71" s="232"/>
      <c r="K71" s="118">
        <f t="shared" si="12"/>
        <v>189000</v>
      </c>
      <c r="L71" s="33">
        <v>-189000</v>
      </c>
      <c r="M71" s="47"/>
      <c r="N71" s="48"/>
      <c r="O71" s="48"/>
      <c r="P71" s="49">
        <v>-189000</v>
      </c>
      <c r="Q71" s="119"/>
      <c r="R71" s="149"/>
      <c r="S71" s="129" t="s">
        <v>757</v>
      </c>
      <c r="T71" s="66" t="s">
        <v>421</v>
      </c>
      <c r="U71" s="128">
        <f t="shared" si="15"/>
        <v>0</v>
      </c>
      <c r="W71" s="25"/>
      <c r="AC71" s="210">
        <f t="shared" si="16"/>
        <v>0</v>
      </c>
      <c r="AD71" s="207" t="str">
        <f t="shared" si="17"/>
        <v>OK</v>
      </c>
    </row>
    <row r="72" spans="1:30" ht="50.25" customHeight="1">
      <c r="A72" s="66">
        <v>61</v>
      </c>
      <c r="B72" s="99"/>
      <c r="C72" s="91"/>
      <c r="D72" s="38" t="s">
        <v>783</v>
      </c>
      <c r="E72" s="38"/>
      <c r="F72" s="131">
        <v>30000</v>
      </c>
      <c r="K72" s="118">
        <f t="shared" si="12"/>
        <v>30000</v>
      </c>
      <c r="L72" s="26">
        <v>-30000</v>
      </c>
      <c r="M72" s="47"/>
      <c r="N72" s="48"/>
      <c r="O72" s="48"/>
      <c r="P72" s="49">
        <v>-30000</v>
      </c>
      <c r="Q72" s="119"/>
      <c r="R72" s="149"/>
      <c r="S72" s="129" t="s">
        <v>521</v>
      </c>
      <c r="T72" s="66" t="s">
        <v>421</v>
      </c>
      <c r="U72" s="128">
        <f t="shared" si="15"/>
        <v>0</v>
      </c>
      <c r="W72" s="25"/>
      <c r="AC72" s="210">
        <f t="shared" si="16"/>
        <v>0</v>
      </c>
      <c r="AD72" s="207" t="str">
        <f t="shared" si="17"/>
        <v>OK</v>
      </c>
    </row>
    <row r="73" spans="1:30" ht="50.25" customHeight="1">
      <c r="A73" s="66">
        <v>62</v>
      </c>
      <c r="B73" s="99"/>
      <c r="C73" s="92"/>
      <c r="D73" s="38" t="s">
        <v>204</v>
      </c>
      <c r="E73" s="38" t="s">
        <v>205</v>
      </c>
      <c r="F73" s="131">
        <v>4801495</v>
      </c>
      <c r="G73" s="47">
        <v>890766</v>
      </c>
      <c r="H73" s="48">
        <v>6711</v>
      </c>
      <c r="I73" s="48">
        <v>3887200</v>
      </c>
      <c r="J73" s="232">
        <v>16818</v>
      </c>
      <c r="K73" s="118">
        <f t="shared" si="12"/>
        <v>0</v>
      </c>
      <c r="L73" s="33">
        <v>-2400000</v>
      </c>
      <c r="M73" s="34">
        <v>-445244</v>
      </c>
      <c r="N73" s="48">
        <v>-3355</v>
      </c>
      <c r="O73" s="48">
        <v>-1943000</v>
      </c>
      <c r="P73" s="49">
        <v>-8401</v>
      </c>
      <c r="Q73" s="119"/>
      <c r="R73" s="149"/>
      <c r="S73" s="129" t="s">
        <v>291</v>
      </c>
      <c r="T73" s="66" t="s">
        <v>421</v>
      </c>
      <c r="U73" s="128">
        <f t="shared" si="15"/>
        <v>0</v>
      </c>
      <c r="W73" s="48">
        <v>-3355</v>
      </c>
      <c r="X73" s="209">
        <v>0</v>
      </c>
      <c r="Y73" s="209">
        <v>0</v>
      </c>
      <c r="Z73" s="209">
        <v>0</v>
      </c>
      <c r="AA73" s="209">
        <v>0</v>
      </c>
      <c r="AB73" s="209">
        <v>0</v>
      </c>
      <c r="AC73" s="210">
        <f t="shared" si="16"/>
        <v>-3355</v>
      </c>
      <c r="AD73" s="207" t="str">
        <f t="shared" si="17"/>
        <v>OK</v>
      </c>
    </row>
    <row r="74" spans="1:30" ht="77.25" customHeight="1">
      <c r="A74" s="66">
        <v>63</v>
      </c>
      <c r="B74" s="99"/>
      <c r="C74" s="90" t="s">
        <v>206</v>
      </c>
      <c r="D74" s="38" t="s">
        <v>207</v>
      </c>
      <c r="E74" s="38" t="s">
        <v>208</v>
      </c>
      <c r="F74" s="131">
        <v>10212138</v>
      </c>
      <c r="G74" s="47">
        <v>5657152</v>
      </c>
      <c r="H74" s="48">
        <v>276509</v>
      </c>
      <c r="I74" s="48">
        <v>4277800</v>
      </c>
      <c r="J74" s="232">
        <v>677</v>
      </c>
      <c r="K74" s="118">
        <f t="shared" si="12"/>
        <v>0</v>
      </c>
      <c r="L74" s="33">
        <v>-5106000</v>
      </c>
      <c r="M74" s="34">
        <v>-2828538</v>
      </c>
      <c r="N74" s="48">
        <v>-138253</v>
      </c>
      <c r="O74" s="48">
        <v>-2138900</v>
      </c>
      <c r="P74" s="49">
        <v>-309</v>
      </c>
      <c r="Q74" s="119"/>
      <c r="R74" s="149"/>
      <c r="S74" s="129" t="s">
        <v>840</v>
      </c>
      <c r="T74" s="66" t="s">
        <v>421</v>
      </c>
      <c r="U74" s="128">
        <f t="shared" si="15"/>
        <v>0</v>
      </c>
      <c r="W74" s="48">
        <v>-138253</v>
      </c>
      <c r="X74" s="209">
        <v>0</v>
      </c>
      <c r="Y74" s="209">
        <v>0</v>
      </c>
      <c r="Z74" s="209">
        <v>0</v>
      </c>
      <c r="AA74" s="209">
        <v>0</v>
      </c>
      <c r="AB74" s="209">
        <v>0</v>
      </c>
      <c r="AC74" s="210">
        <f t="shared" si="16"/>
        <v>-138253</v>
      </c>
      <c r="AD74" s="207" t="str">
        <f t="shared" si="17"/>
        <v>OK</v>
      </c>
    </row>
    <row r="75" spans="1:30" ht="60.75" customHeight="1">
      <c r="A75" s="66">
        <v>64</v>
      </c>
      <c r="B75" s="99"/>
      <c r="C75" s="91"/>
      <c r="D75" s="38" t="s">
        <v>841</v>
      </c>
      <c r="E75" s="38" t="s">
        <v>842</v>
      </c>
      <c r="F75" s="131">
        <v>16706039</v>
      </c>
      <c r="G75" s="47">
        <v>8679535</v>
      </c>
      <c r="H75" s="48">
        <v>1907</v>
      </c>
      <c r="I75" s="48">
        <v>8023400</v>
      </c>
      <c r="J75" s="232">
        <v>1197</v>
      </c>
      <c r="K75" s="118">
        <f t="shared" si="12"/>
        <v>0</v>
      </c>
      <c r="L75" s="33">
        <v>-8353000</v>
      </c>
      <c r="M75" s="34">
        <v>-4339757</v>
      </c>
      <c r="N75" s="48">
        <v>-953</v>
      </c>
      <c r="O75" s="48">
        <v>-4011700</v>
      </c>
      <c r="P75" s="49">
        <v>-590</v>
      </c>
      <c r="Q75" s="119"/>
      <c r="R75" s="149"/>
      <c r="S75" s="129" t="s">
        <v>291</v>
      </c>
      <c r="T75" s="66" t="s">
        <v>421</v>
      </c>
      <c r="U75" s="128">
        <f t="shared" si="15"/>
        <v>0</v>
      </c>
      <c r="W75" s="48">
        <v>-953</v>
      </c>
      <c r="X75" s="209">
        <v>0</v>
      </c>
      <c r="Y75" s="209">
        <v>0</v>
      </c>
      <c r="Z75" s="209">
        <v>0</v>
      </c>
      <c r="AA75" s="209">
        <v>0</v>
      </c>
      <c r="AB75" s="209">
        <v>0</v>
      </c>
      <c r="AC75" s="210">
        <f t="shared" si="16"/>
        <v>-953</v>
      </c>
      <c r="AD75" s="207" t="str">
        <f t="shared" si="17"/>
        <v>OK</v>
      </c>
    </row>
    <row r="76" spans="1:30" ht="50.25" customHeight="1">
      <c r="A76" s="66">
        <v>65</v>
      </c>
      <c r="B76" s="99"/>
      <c r="C76" s="91"/>
      <c r="D76" s="38" t="s">
        <v>409</v>
      </c>
      <c r="E76" s="38" t="s">
        <v>410</v>
      </c>
      <c r="F76" s="131">
        <v>8480808</v>
      </c>
      <c r="G76" s="47">
        <v>0</v>
      </c>
      <c r="H76" s="48">
        <v>470</v>
      </c>
      <c r="I76" s="48">
        <v>8471800</v>
      </c>
      <c r="J76" s="232">
        <v>8538</v>
      </c>
      <c r="K76" s="118">
        <f t="shared" si="12"/>
        <v>0</v>
      </c>
      <c r="L76" s="34">
        <v>-2968000</v>
      </c>
      <c r="M76" s="34">
        <v>0</v>
      </c>
      <c r="N76" s="48">
        <v>-164</v>
      </c>
      <c r="O76" s="48">
        <v>-2964900</v>
      </c>
      <c r="P76" s="49">
        <v>-2936</v>
      </c>
      <c r="Q76" s="119"/>
      <c r="R76" s="149"/>
      <c r="S76" s="129" t="s">
        <v>292</v>
      </c>
      <c r="T76" s="66" t="s">
        <v>421</v>
      </c>
      <c r="U76" s="128">
        <f t="shared" si="15"/>
        <v>0</v>
      </c>
      <c r="W76" s="48">
        <v>-164</v>
      </c>
      <c r="X76" s="209">
        <v>0</v>
      </c>
      <c r="Y76" s="209">
        <v>0</v>
      </c>
      <c r="Z76" s="209">
        <v>0</v>
      </c>
      <c r="AA76" s="209">
        <v>0</v>
      </c>
      <c r="AB76" s="209">
        <v>0</v>
      </c>
      <c r="AC76" s="210">
        <f t="shared" si="16"/>
        <v>-164</v>
      </c>
      <c r="AD76" s="207" t="str">
        <f t="shared" si="17"/>
        <v>OK</v>
      </c>
    </row>
    <row r="77" spans="1:30" ht="57.75" customHeight="1">
      <c r="A77" s="66">
        <v>66</v>
      </c>
      <c r="B77" s="99"/>
      <c r="C77" s="92"/>
      <c r="D77" s="38" t="s">
        <v>411</v>
      </c>
      <c r="E77" s="38" t="s">
        <v>210</v>
      </c>
      <c r="F77" s="131">
        <v>12159555</v>
      </c>
      <c r="K77" s="118">
        <f t="shared" si="12"/>
        <v>12159555</v>
      </c>
      <c r="L77" s="26">
        <v>-12159555</v>
      </c>
      <c r="M77" s="47">
        <v>0</v>
      </c>
      <c r="N77" s="48">
        <v>0</v>
      </c>
      <c r="O77" s="48">
        <v>-12156900</v>
      </c>
      <c r="P77" s="49">
        <v>-2655</v>
      </c>
      <c r="Q77" s="119"/>
      <c r="R77" s="149"/>
      <c r="S77" s="129" t="s">
        <v>77</v>
      </c>
      <c r="T77" s="66" t="s">
        <v>421</v>
      </c>
      <c r="U77" s="128">
        <f t="shared" si="15"/>
        <v>0</v>
      </c>
      <c r="W77" s="209"/>
      <c r="X77" s="209"/>
      <c r="Y77" s="209"/>
      <c r="Z77" s="209"/>
      <c r="AA77" s="209"/>
      <c r="AB77" s="209"/>
      <c r="AC77" s="210">
        <f t="shared" si="16"/>
        <v>0</v>
      </c>
      <c r="AD77" s="207" t="str">
        <f t="shared" si="17"/>
        <v>OK</v>
      </c>
    </row>
    <row r="78" spans="1:30" ht="57.75" customHeight="1">
      <c r="A78" s="66">
        <v>67</v>
      </c>
      <c r="B78" s="99"/>
      <c r="C78" s="90" t="s">
        <v>526</v>
      </c>
      <c r="D78" s="38" t="s">
        <v>526</v>
      </c>
      <c r="E78" s="38" t="s">
        <v>844</v>
      </c>
      <c r="F78" s="131">
        <v>2980</v>
      </c>
      <c r="K78" s="118">
        <f t="shared" si="12"/>
        <v>2980</v>
      </c>
      <c r="L78" s="33">
        <v>-2980</v>
      </c>
      <c r="M78" s="47"/>
      <c r="N78" s="48"/>
      <c r="O78" s="48"/>
      <c r="P78" s="49">
        <v>-2980</v>
      </c>
      <c r="Q78" s="119"/>
      <c r="R78" s="149"/>
      <c r="S78" s="129" t="s">
        <v>845</v>
      </c>
      <c r="T78" s="66" t="s">
        <v>421</v>
      </c>
      <c r="U78" s="128">
        <f t="shared" si="15"/>
        <v>0</v>
      </c>
      <c r="W78" s="209"/>
      <c r="X78" s="209"/>
      <c r="Y78" s="209"/>
      <c r="Z78" s="209"/>
      <c r="AA78" s="209"/>
      <c r="AB78" s="209"/>
      <c r="AC78" s="210">
        <f t="shared" si="16"/>
        <v>0</v>
      </c>
      <c r="AD78" s="207" t="str">
        <f t="shared" si="17"/>
        <v>OK</v>
      </c>
    </row>
    <row r="79" spans="1:30" ht="50.25" customHeight="1">
      <c r="A79" s="66">
        <v>68</v>
      </c>
      <c r="B79" s="99"/>
      <c r="C79" s="92"/>
      <c r="D79" s="38" t="s">
        <v>785</v>
      </c>
      <c r="E79" s="38"/>
      <c r="F79" s="131">
        <v>344865</v>
      </c>
      <c r="G79" s="47">
        <v>0</v>
      </c>
      <c r="H79" s="48">
        <v>87131</v>
      </c>
      <c r="I79" s="48">
        <v>0</v>
      </c>
      <c r="J79" s="232">
        <v>257734</v>
      </c>
      <c r="K79" s="118">
        <f t="shared" si="12"/>
        <v>0</v>
      </c>
      <c r="L79" s="33">
        <v>-120500</v>
      </c>
      <c r="M79" s="34">
        <f>-G79*0.35</f>
        <v>0</v>
      </c>
      <c r="N79" s="48">
        <v>-30400</v>
      </c>
      <c r="O79" s="48">
        <f>-I79*0.35</f>
        <v>0</v>
      </c>
      <c r="P79" s="49">
        <v>-90100</v>
      </c>
      <c r="Q79" s="119"/>
      <c r="R79" s="149"/>
      <c r="S79" s="129" t="s">
        <v>525</v>
      </c>
      <c r="T79" s="66" t="s">
        <v>421</v>
      </c>
      <c r="U79" s="128">
        <f t="shared" si="15"/>
        <v>0</v>
      </c>
      <c r="W79" s="48">
        <v>-30400</v>
      </c>
      <c r="X79" s="209">
        <v>0</v>
      </c>
      <c r="Y79" s="209">
        <v>0</v>
      </c>
      <c r="Z79" s="209">
        <v>0</v>
      </c>
      <c r="AA79" s="209">
        <v>0</v>
      </c>
      <c r="AB79" s="209">
        <v>0</v>
      </c>
      <c r="AC79" s="210">
        <f t="shared" si="16"/>
        <v>-30400</v>
      </c>
      <c r="AD79" s="207" t="str">
        <f t="shared" si="17"/>
        <v>OK</v>
      </c>
    </row>
    <row r="80" spans="1:30" ht="50.25" customHeight="1">
      <c r="A80" s="66">
        <v>69</v>
      </c>
      <c r="B80" s="99"/>
      <c r="C80" s="91" t="s">
        <v>527</v>
      </c>
      <c r="D80" s="38" t="s">
        <v>211</v>
      </c>
      <c r="E80" s="38" t="s">
        <v>212</v>
      </c>
      <c r="F80" s="131">
        <v>1108600</v>
      </c>
      <c r="G80" s="47">
        <v>548079</v>
      </c>
      <c r="H80" s="48">
        <v>12443</v>
      </c>
      <c r="I80" s="48">
        <v>546900</v>
      </c>
      <c r="J80" s="232">
        <v>1178</v>
      </c>
      <c r="K80" s="118">
        <f aca="true" t="shared" si="18" ref="K80:K111">F80-G80-H80-I80-J80</f>
        <v>0</v>
      </c>
      <c r="L80" s="33">
        <v>-1108600</v>
      </c>
      <c r="M80" s="47">
        <v>-548079</v>
      </c>
      <c r="N80" s="48">
        <v>-12443</v>
      </c>
      <c r="O80" s="48">
        <v>-546900</v>
      </c>
      <c r="P80" s="49">
        <v>-1178</v>
      </c>
      <c r="Q80" s="119"/>
      <c r="R80" s="149"/>
      <c r="S80" s="129" t="s">
        <v>843</v>
      </c>
      <c r="T80" s="66" t="s">
        <v>421</v>
      </c>
      <c r="U80" s="128">
        <f t="shared" si="15"/>
        <v>0</v>
      </c>
      <c r="W80" s="209">
        <v>-12443</v>
      </c>
      <c r="X80" s="209">
        <v>0</v>
      </c>
      <c r="Y80" s="209">
        <v>0</v>
      </c>
      <c r="Z80" s="209">
        <v>0</v>
      </c>
      <c r="AA80" s="209">
        <v>0</v>
      </c>
      <c r="AB80" s="209">
        <v>0</v>
      </c>
      <c r="AC80" s="210">
        <f t="shared" si="16"/>
        <v>-12443</v>
      </c>
      <c r="AD80" s="207" t="str">
        <f t="shared" si="17"/>
        <v>OK</v>
      </c>
    </row>
    <row r="81" spans="1:30" ht="50.25" customHeight="1">
      <c r="A81" s="66">
        <v>70</v>
      </c>
      <c r="B81" s="99"/>
      <c r="C81" s="91"/>
      <c r="D81" s="38" t="s">
        <v>216</v>
      </c>
      <c r="E81" s="38" t="s">
        <v>217</v>
      </c>
      <c r="F81" s="131">
        <v>487000</v>
      </c>
      <c r="G81" s="47">
        <v>0</v>
      </c>
      <c r="H81" s="48">
        <v>120687</v>
      </c>
      <c r="I81" s="48">
        <v>365500</v>
      </c>
      <c r="J81" s="232">
        <v>813</v>
      </c>
      <c r="K81" s="118">
        <f t="shared" si="18"/>
        <v>0</v>
      </c>
      <c r="L81" s="33">
        <v>-243500</v>
      </c>
      <c r="M81" s="34">
        <v>0</v>
      </c>
      <c r="N81" s="48">
        <v>-60344</v>
      </c>
      <c r="O81" s="48">
        <v>-182800</v>
      </c>
      <c r="P81" s="49">
        <v>-356</v>
      </c>
      <c r="Q81" s="119"/>
      <c r="R81" s="149"/>
      <c r="S81" s="129" t="s">
        <v>395</v>
      </c>
      <c r="T81" s="66" t="s">
        <v>421</v>
      </c>
      <c r="U81" s="128">
        <f t="shared" si="15"/>
        <v>0</v>
      </c>
      <c r="W81" s="48">
        <v>-60344</v>
      </c>
      <c r="X81" s="209">
        <v>0</v>
      </c>
      <c r="Y81" s="209">
        <v>0</v>
      </c>
      <c r="Z81" s="209">
        <v>0</v>
      </c>
      <c r="AA81" s="209">
        <v>0</v>
      </c>
      <c r="AB81" s="209">
        <v>0</v>
      </c>
      <c r="AC81" s="210">
        <f t="shared" si="16"/>
        <v>-60344</v>
      </c>
      <c r="AD81" s="207" t="str">
        <f t="shared" si="17"/>
        <v>OK</v>
      </c>
    </row>
    <row r="82" spans="1:30" ht="60.75" customHeight="1">
      <c r="A82" s="66">
        <v>71</v>
      </c>
      <c r="B82" s="99"/>
      <c r="C82" s="92"/>
      <c r="D82" s="38" t="s">
        <v>218</v>
      </c>
      <c r="E82" s="38" t="s">
        <v>666</v>
      </c>
      <c r="F82" s="131">
        <v>7228000</v>
      </c>
      <c r="K82" s="118">
        <f t="shared" si="18"/>
        <v>7228000</v>
      </c>
      <c r="L82" s="26">
        <v>-7228000</v>
      </c>
      <c r="M82" s="47"/>
      <c r="N82" s="48"/>
      <c r="O82" s="48">
        <v>-7226100</v>
      </c>
      <c r="P82" s="49">
        <v>-1900</v>
      </c>
      <c r="Q82" s="119"/>
      <c r="R82" s="149"/>
      <c r="S82" s="129" t="s">
        <v>373</v>
      </c>
      <c r="T82" s="66" t="s">
        <v>421</v>
      </c>
      <c r="U82" s="128">
        <f t="shared" si="15"/>
        <v>0</v>
      </c>
      <c r="W82" s="209"/>
      <c r="X82" s="209"/>
      <c r="Y82" s="209"/>
      <c r="Z82" s="209"/>
      <c r="AA82" s="209"/>
      <c r="AB82" s="209"/>
      <c r="AC82" s="210">
        <f t="shared" si="16"/>
        <v>0</v>
      </c>
      <c r="AD82" s="207" t="str">
        <f t="shared" si="17"/>
        <v>OK</v>
      </c>
    </row>
    <row r="83" spans="1:30" ht="70.5" customHeight="1">
      <c r="A83" s="66">
        <v>72</v>
      </c>
      <c r="B83" s="99"/>
      <c r="C83" s="90" t="s">
        <v>219</v>
      </c>
      <c r="D83" s="38" t="s">
        <v>220</v>
      </c>
      <c r="E83" s="38" t="s">
        <v>762</v>
      </c>
      <c r="F83" s="131">
        <v>478850</v>
      </c>
      <c r="G83" s="47">
        <v>230118</v>
      </c>
      <c r="H83" s="48">
        <v>0</v>
      </c>
      <c r="I83" s="48">
        <v>247600</v>
      </c>
      <c r="J83" s="232">
        <v>1132</v>
      </c>
      <c r="K83" s="118">
        <f t="shared" si="18"/>
        <v>0</v>
      </c>
      <c r="L83" s="33">
        <v>-167000</v>
      </c>
      <c r="M83" s="34">
        <v>-80342</v>
      </c>
      <c r="N83" s="48">
        <v>0</v>
      </c>
      <c r="O83" s="48">
        <v>-86500</v>
      </c>
      <c r="P83" s="49">
        <v>-158</v>
      </c>
      <c r="Q83" s="119"/>
      <c r="R83" s="149"/>
      <c r="S83" s="129" t="s">
        <v>528</v>
      </c>
      <c r="T83" s="66" t="s">
        <v>421</v>
      </c>
      <c r="U83" s="128">
        <f t="shared" si="15"/>
        <v>0</v>
      </c>
      <c r="W83" s="209"/>
      <c r="X83" s="209"/>
      <c r="Y83" s="209"/>
      <c r="Z83" s="209"/>
      <c r="AA83" s="209"/>
      <c r="AB83" s="209"/>
      <c r="AC83" s="210">
        <f t="shared" si="16"/>
        <v>0</v>
      </c>
      <c r="AD83" s="207" t="str">
        <f t="shared" si="17"/>
        <v>OK</v>
      </c>
    </row>
    <row r="84" spans="1:30" ht="50.25" customHeight="1">
      <c r="A84" s="66">
        <v>73</v>
      </c>
      <c r="B84" s="99"/>
      <c r="C84" s="92"/>
      <c r="D84" s="38" t="s">
        <v>221</v>
      </c>
      <c r="E84" s="38" t="s">
        <v>222</v>
      </c>
      <c r="F84" s="131">
        <v>171000</v>
      </c>
      <c r="K84" s="118">
        <f t="shared" si="18"/>
        <v>171000</v>
      </c>
      <c r="L84" s="26">
        <v>-171000</v>
      </c>
      <c r="M84" s="47"/>
      <c r="N84" s="48"/>
      <c r="O84" s="48">
        <v>-170900</v>
      </c>
      <c r="P84" s="49">
        <v>-100</v>
      </c>
      <c r="Q84" s="119"/>
      <c r="R84" s="149"/>
      <c r="S84" s="129" t="s">
        <v>373</v>
      </c>
      <c r="T84" s="66" t="s">
        <v>421</v>
      </c>
      <c r="U84" s="128">
        <f t="shared" si="15"/>
        <v>0</v>
      </c>
      <c r="W84" s="209"/>
      <c r="X84" s="209"/>
      <c r="Y84" s="209"/>
      <c r="Z84" s="209"/>
      <c r="AA84" s="209"/>
      <c r="AB84" s="209"/>
      <c r="AC84" s="210">
        <f t="shared" si="16"/>
        <v>0</v>
      </c>
      <c r="AD84" s="207" t="str">
        <f t="shared" si="17"/>
        <v>OK</v>
      </c>
    </row>
    <row r="85" spans="1:30" ht="63" customHeight="1">
      <c r="A85" s="66">
        <v>74</v>
      </c>
      <c r="B85" s="99"/>
      <c r="C85" s="90" t="s">
        <v>223</v>
      </c>
      <c r="D85" s="38" t="s">
        <v>224</v>
      </c>
      <c r="E85" s="38" t="s">
        <v>667</v>
      </c>
      <c r="F85" s="131">
        <v>7148810</v>
      </c>
      <c r="G85" s="47">
        <v>3498350</v>
      </c>
      <c r="H85" s="48">
        <v>113870</v>
      </c>
      <c r="I85" s="48">
        <v>3535200</v>
      </c>
      <c r="J85" s="232">
        <v>1390</v>
      </c>
      <c r="K85" s="118">
        <f t="shared" si="18"/>
        <v>0</v>
      </c>
      <c r="L85" s="33">
        <v>-2430750</v>
      </c>
      <c r="M85" s="34">
        <v>-1189609</v>
      </c>
      <c r="N85" s="48">
        <v>-38649</v>
      </c>
      <c r="O85" s="48">
        <v>-1202000</v>
      </c>
      <c r="P85" s="49">
        <v>-492</v>
      </c>
      <c r="Q85" s="119"/>
      <c r="R85" s="149"/>
      <c r="S85" s="129" t="s">
        <v>721</v>
      </c>
      <c r="T85" s="66" t="s">
        <v>421</v>
      </c>
      <c r="U85" s="211">
        <f t="shared" si="15"/>
        <v>0</v>
      </c>
      <c r="W85" s="48">
        <v>-38649</v>
      </c>
      <c r="X85" s="209"/>
      <c r="Y85" s="209"/>
      <c r="Z85" s="209"/>
      <c r="AA85" s="209"/>
      <c r="AB85" s="209"/>
      <c r="AC85" s="210">
        <f t="shared" si="16"/>
        <v>-38649</v>
      </c>
      <c r="AD85" s="207" t="str">
        <f t="shared" si="17"/>
        <v>OK</v>
      </c>
    </row>
    <row r="86" spans="1:30" ht="50.25" customHeight="1">
      <c r="A86" s="66">
        <v>75</v>
      </c>
      <c r="B86" s="99"/>
      <c r="C86" s="92"/>
      <c r="D86" s="38" t="s">
        <v>225</v>
      </c>
      <c r="E86" s="38" t="s">
        <v>226</v>
      </c>
      <c r="F86" s="131">
        <v>1500000</v>
      </c>
      <c r="G86" s="47"/>
      <c r="H86" s="48"/>
      <c r="I86" s="48"/>
      <c r="J86" s="232"/>
      <c r="K86" s="118">
        <f t="shared" si="18"/>
        <v>1500000</v>
      </c>
      <c r="L86" s="26">
        <v>-1500000</v>
      </c>
      <c r="M86" s="47"/>
      <c r="N86" s="48"/>
      <c r="O86" s="48">
        <v>-1499000</v>
      </c>
      <c r="P86" s="49">
        <v>-1000</v>
      </c>
      <c r="Q86" s="119"/>
      <c r="R86" s="149"/>
      <c r="S86" s="129" t="s">
        <v>373</v>
      </c>
      <c r="T86" s="66" t="s">
        <v>421</v>
      </c>
      <c r="U86" s="128">
        <f t="shared" si="15"/>
        <v>0</v>
      </c>
      <c r="W86" s="209"/>
      <c r="X86" s="209"/>
      <c r="Y86" s="209"/>
      <c r="Z86" s="209"/>
      <c r="AA86" s="209"/>
      <c r="AB86" s="209"/>
      <c r="AC86" s="210">
        <f t="shared" si="16"/>
        <v>0</v>
      </c>
      <c r="AD86" s="207" t="str">
        <f t="shared" si="17"/>
        <v>OK</v>
      </c>
    </row>
    <row r="87" spans="1:30" ht="50.25" customHeight="1">
      <c r="A87" s="66">
        <v>76</v>
      </c>
      <c r="B87" s="99"/>
      <c r="C87" s="91" t="s">
        <v>846</v>
      </c>
      <c r="D87" s="38" t="s">
        <v>846</v>
      </c>
      <c r="E87" s="38" t="s">
        <v>847</v>
      </c>
      <c r="F87" s="415">
        <v>2154</v>
      </c>
      <c r="G87" s="428"/>
      <c r="H87" s="428"/>
      <c r="I87" s="428"/>
      <c r="J87" s="429"/>
      <c r="K87" s="424">
        <f t="shared" si="18"/>
        <v>2154</v>
      </c>
      <c r="L87" s="33">
        <v>-2154</v>
      </c>
      <c r="M87" s="47"/>
      <c r="N87" s="48">
        <v>-2154</v>
      </c>
      <c r="O87" s="48"/>
      <c r="P87" s="49"/>
      <c r="Q87" s="119"/>
      <c r="R87" s="149"/>
      <c r="S87" s="129"/>
      <c r="T87" s="66" t="s">
        <v>421</v>
      </c>
      <c r="U87" s="128">
        <f t="shared" si="15"/>
        <v>0</v>
      </c>
      <c r="W87" s="209"/>
      <c r="X87" s="48">
        <v>-2154</v>
      </c>
      <c r="Y87" s="209"/>
      <c r="Z87" s="209"/>
      <c r="AA87" s="209"/>
      <c r="AB87" s="209"/>
      <c r="AC87" s="210">
        <f t="shared" si="16"/>
        <v>-2154</v>
      </c>
      <c r="AD87" s="207" t="str">
        <f t="shared" si="17"/>
        <v>OK</v>
      </c>
    </row>
    <row r="88" spans="1:30" ht="50.25" customHeight="1">
      <c r="A88" s="66">
        <v>77</v>
      </c>
      <c r="B88" s="99"/>
      <c r="C88" s="91"/>
      <c r="D88" s="38" t="s">
        <v>604</v>
      </c>
      <c r="E88" s="38" t="s">
        <v>847</v>
      </c>
      <c r="F88" s="415">
        <v>350</v>
      </c>
      <c r="G88" s="428"/>
      <c r="H88" s="428"/>
      <c r="I88" s="428"/>
      <c r="J88" s="429"/>
      <c r="K88" s="424">
        <f t="shared" si="18"/>
        <v>350</v>
      </c>
      <c r="L88" s="33">
        <v>-350</v>
      </c>
      <c r="M88" s="34"/>
      <c r="N88" s="48"/>
      <c r="O88" s="48"/>
      <c r="P88" s="49">
        <v>-350</v>
      </c>
      <c r="Q88" s="119"/>
      <c r="R88" s="149"/>
      <c r="S88" s="129"/>
      <c r="T88" s="66" t="s">
        <v>421</v>
      </c>
      <c r="U88" s="128">
        <f>L88-M88-N88-O88-P88</f>
        <v>0</v>
      </c>
      <c r="W88" s="209"/>
      <c r="X88" s="48"/>
      <c r="Y88" s="209"/>
      <c r="Z88" s="209"/>
      <c r="AA88" s="209"/>
      <c r="AB88" s="209"/>
      <c r="AC88" s="210">
        <f>SUM(W88:AB88)</f>
        <v>0</v>
      </c>
      <c r="AD88" s="207" t="str">
        <f>IF(N88=AC88,"OK","OUT")</f>
        <v>OK</v>
      </c>
    </row>
    <row r="89" spans="1:30" ht="71.25" customHeight="1">
      <c r="A89" s="66">
        <v>78</v>
      </c>
      <c r="B89" s="99"/>
      <c r="C89" s="90" t="s">
        <v>227</v>
      </c>
      <c r="D89" s="38" t="s">
        <v>261</v>
      </c>
      <c r="E89" s="38" t="s">
        <v>668</v>
      </c>
      <c r="F89" s="131">
        <v>5748033</v>
      </c>
      <c r="G89" s="47">
        <v>2121934</v>
      </c>
      <c r="H89" s="48">
        <v>528448</v>
      </c>
      <c r="I89" s="48">
        <v>3077900</v>
      </c>
      <c r="J89" s="232">
        <v>19751</v>
      </c>
      <c r="K89" s="118">
        <f t="shared" si="18"/>
        <v>0</v>
      </c>
      <c r="L89" s="33">
        <v>-2011000</v>
      </c>
      <c r="M89" s="34">
        <v>-742372</v>
      </c>
      <c r="N89" s="48">
        <v>-184890</v>
      </c>
      <c r="O89" s="48">
        <v>-1076900</v>
      </c>
      <c r="P89" s="49">
        <v>-6838</v>
      </c>
      <c r="Q89" s="119"/>
      <c r="R89" s="149"/>
      <c r="S89" s="129" t="s">
        <v>524</v>
      </c>
      <c r="T89" s="66" t="s">
        <v>421</v>
      </c>
      <c r="U89" s="128">
        <f t="shared" si="15"/>
        <v>0</v>
      </c>
      <c r="W89" s="48">
        <v>-184890</v>
      </c>
      <c r="X89" s="209">
        <v>0</v>
      </c>
      <c r="Y89" s="209">
        <v>0</v>
      </c>
      <c r="Z89" s="209">
        <v>0</v>
      </c>
      <c r="AA89" s="209">
        <v>0</v>
      </c>
      <c r="AB89" s="209">
        <v>0</v>
      </c>
      <c r="AC89" s="210">
        <f t="shared" si="16"/>
        <v>-184890</v>
      </c>
      <c r="AD89" s="207" t="str">
        <f t="shared" si="17"/>
        <v>OK</v>
      </c>
    </row>
    <row r="90" spans="1:30" ht="31.5" customHeight="1">
      <c r="A90" s="66">
        <v>79</v>
      </c>
      <c r="B90" s="99"/>
      <c r="C90" s="91"/>
      <c r="D90" s="38" t="s">
        <v>262</v>
      </c>
      <c r="E90" s="38" t="s">
        <v>263</v>
      </c>
      <c r="F90" s="131">
        <v>115200</v>
      </c>
      <c r="G90" s="47">
        <v>0</v>
      </c>
      <c r="H90" s="48">
        <v>17280</v>
      </c>
      <c r="I90" s="48">
        <v>97200</v>
      </c>
      <c r="J90" s="232">
        <v>720</v>
      </c>
      <c r="K90" s="118">
        <f t="shared" si="18"/>
        <v>0</v>
      </c>
      <c r="L90" s="33">
        <v>-23000</v>
      </c>
      <c r="M90" s="34">
        <v>0</v>
      </c>
      <c r="N90" s="48">
        <v>-3436</v>
      </c>
      <c r="O90" s="48">
        <v>-19500</v>
      </c>
      <c r="P90" s="49">
        <v>-64</v>
      </c>
      <c r="Q90" s="119"/>
      <c r="R90" s="149"/>
      <c r="S90" s="129" t="s">
        <v>707</v>
      </c>
      <c r="T90" s="66" t="s">
        <v>421</v>
      </c>
      <c r="U90" s="128">
        <f t="shared" si="15"/>
        <v>0</v>
      </c>
      <c r="W90" s="48">
        <v>-3436</v>
      </c>
      <c r="X90" s="209">
        <v>0</v>
      </c>
      <c r="Y90" s="209">
        <v>0</v>
      </c>
      <c r="Z90" s="209">
        <v>0</v>
      </c>
      <c r="AA90" s="209">
        <v>0</v>
      </c>
      <c r="AB90" s="209">
        <v>0</v>
      </c>
      <c r="AC90" s="210">
        <f t="shared" si="16"/>
        <v>-3436</v>
      </c>
      <c r="AD90" s="207" t="str">
        <f t="shared" si="17"/>
        <v>OK</v>
      </c>
    </row>
    <row r="91" spans="1:30" ht="48" customHeight="1">
      <c r="A91" s="66">
        <v>80</v>
      </c>
      <c r="B91" s="99"/>
      <c r="C91" s="92"/>
      <c r="D91" s="38" t="s">
        <v>396</v>
      </c>
      <c r="E91" s="38" t="s">
        <v>264</v>
      </c>
      <c r="F91" s="131">
        <v>565000</v>
      </c>
      <c r="K91" s="118">
        <f t="shared" si="18"/>
        <v>565000</v>
      </c>
      <c r="L91" s="26">
        <v>-565000</v>
      </c>
      <c r="M91" s="47"/>
      <c r="N91" s="48"/>
      <c r="O91" s="48">
        <v>-564500</v>
      </c>
      <c r="P91" s="49">
        <v>-500</v>
      </c>
      <c r="Q91" s="119"/>
      <c r="R91" s="149"/>
      <c r="S91" s="129" t="s">
        <v>373</v>
      </c>
      <c r="T91" s="66" t="s">
        <v>421</v>
      </c>
      <c r="U91" s="128">
        <f t="shared" si="15"/>
        <v>0</v>
      </c>
      <c r="W91" s="209"/>
      <c r="X91" s="209"/>
      <c r="Y91" s="209"/>
      <c r="Z91" s="209"/>
      <c r="AA91" s="209"/>
      <c r="AB91" s="209"/>
      <c r="AC91" s="210">
        <f t="shared" si="16"/>
        <v>0</v>
      </c>
      <c r="AD91" s="207" t="str">
        <f t="shared" si="17"/>
        <v>OK</v>
      </c>
    </row>
    <row r="92" spans="1:30" ht="125.25" customHeight="1">
      <c r="A92" s="66">
        <v>81</v>
      </c>
      <c r="B92" s="99"/>
      <c r="C92" s="90" t="s">
        <v>265</v>
      </c>
      <c r="D92" s="51" t="s">
        <v>618</v>
      </c>
      <c r="E92" s="38" t="s">
        <v>848</v>
      </c>
      <c r="F92" s="131">
        <v>37700</v>
      </c>
      <c r="K92" s="118">
        <f t="shared" si="18"/>
        <v>37700</v>
      </c>
      <c r="L92" s="26">
        <v>-37700</v>
      </c>
      <c r="M92" s="47"/>
      <c r="N92" s="48"/>
      <c r="O92" s="48"/>
      <c r="P92" s="49">
        <v>-37700</v>
      </c>
      <c r="Q92" s="119"/>
      <c r="R92" s="149"/>
      <c r="S92" s="129" t="s">
        <v>849</v>
      </c>
      <c r="T92" s="66" t="s">
        <v>421</v>
      </c>
      <c r="U92" s="128">
        <f t="shared" si="15"/>
        <v>0</v>
      </c>
      <c r="W92" s="209"/>
      <c r="X92" s="209"/>
      <c r="Y92" s="209"/>
      <c r="Z92" s="209"/>
      <c r="AA92" s="209"/>
      <c r="AB92" s="209"/>
      <c r="AC92" s="210">
        <f t="shared" si="16"/>
        <v>0</v>
      </c>
      <c r="AD92" s="207" t="str">
        <f t="shared" si="17"/>
        <v>OK</v>
      </c>
    </row>
    <row r="93" spans="1:30" ht="31.5" customHeight="1">
      <c r="A93" s="66">
        <v>82</v>
      </c>
      <c r="B93" s="99"/>
      <c r="C93" s="91"/>
      <c r="D93" s="51" t="s">
        <v>268</v>
      </c>
      <c r="E93" s="38"/>
      <c r="F93" s="131">
        <v>185367</v>
      </c>
      <c r="G93" s="47">
        <v>0</v>
      </c>
      <c r="H93" s="48">
        <v>5000</v>
      </c>
      <c r="I93" s="48">
        <v>0</v>
      </c>
      <c r="J93" s="232">
        <v>180367</v>
      </c>
      <c r="K93" s="118">
        <f t="shared" si="18"/>
        <v>0</v>
      </c>
      <c r="L93" s="33">
        <v>-185367</v>
      </c>
      <c r="M93" s="47"/>
      <c r="N93" s="48">
        <v>-5000</v>
      </c>
      <c r="O93" s="48"/>
      <c r="P93" s="49">
        <f>L93-N93</f>
        <v>-180367</v>
      </c>
      <c r="Q93" s="119"/>
      <c r="R93" s="149"/>
      <c r="S93" s="129" t="s">
        <v>662</v>
      </c>
      <c r="T93" s="66" t="s">
        <v>421</v>
      </c>
      <c r="U93" s="128">
        <f t="shared" si="15"/>
        <v>0</v>
      </c>
      <c r="W93" s="209"/>
      <c r="X93" s="209">
        <v>-5000</v>
      </c>
      <c r="Y93" s="209"/>
      <c r="Z93" s="209"/>
      <c r="AA93" s="209"/>
      <c r="AB93" s="209"/>
      <c r="AC93" s="210">
        <f t="shared" si="16"/>
        <v>-5000</v>
      </c>
      <c r="AD93" s="207" t="str">
        <f t="shared" si="17"/>
        <v>OK</v>
      </c>
    </row>
    <row r="94" spans="1:30" ht="31.5" customHeight="1">
      <c r="A94" s="66">
        <v>83</v>
      </c>
      <c r="B94" s="99"/>
      <c r="C94" s="91"/>
      <c r="D94" s="56" t="s">
        <v>531</v>
      </c>
      <c r="E94" s="38"/>
      <c r="F94" s="131">
        <v>206500</v>
      </c>
      <c r="K94" s="118">
        <f t="shared" si="18"/>
        <v>206500</v>
      </c>
      <c r="L94" s="26">
        <v>-206500</v>
      </c>
      <c r="M94" s="47"/>
      <c r="N94" s="48"/>
      <c r="O94" s="48">
        <v>-204500</v>
      </c>
      <c r="P94" s="49">
        <v>-2000</v>
      </c>
      <c r="Q94" s="119"/>
      <c r="R94" s="149"/>
      <c r="S94" s="129" t="s">
        <v>850</v>
      </c>
      <c r="T94" s="66" t="s">
        <v>421</v>
      </c>
      <c r="U94" s="128">
        <f t="shared" si="15"/>
        <v>0</v>
      </c>
      <c r="W94" s="209"/>
      <c r="X94" s="209"/>
      <c r="Y94" s="209"/>
      <c r="Z94" s="209"/>
      <c r="AA94" s="209"/>
      <c r="AB94" s="209"/>
      <c r="AC94" s="210">
        <f t="shared" si="16"/>
        <v>0</v>
      </c>
      <c r="AD94" s="207" t="str">
        <f t="shared" si="17"/>
        <v>OK</v>
      </c>
    </row>
    <row r="95" spans="1:30" ht="57.75" customHeight="1">
      <c r="A95" s="66">
        <v>84</v>
      </c>
      <c r="B95" s="99"/>
      <c r="C95" s="91"/>
      <c r="D95" s="130" t="s">
        <v>269</v>
      </c>
      <c r="E95" s="38" t="s">
        <v>713</v>
      </c>
      <c r="F95" s="131">
        <v>82000</v>
      </c>
      <c r="K95" s="118">
        <f t="shared" si="18"/>
        <v>82000</v>
      </c>
      <c r="L95" s="26">
        <v>-82000</v>
      </c>
      <c r="M95" s="47"/>
      <c r="N95" s="48"/>
      <c r="O95" s="48">
        <v>-81800</v>
      </c>
      <c r="P95" s="49">
        <v>-200</v>
      </c>
      <c r="Q95" s="119"/>
      <c r="R95" s="149"/>
      <c r="S95" s="129"/>
      <c r="T95" s="66" t="s">
        <v>421</v>
      </c>
      <c r="U95" s="128">
        <f t="shared" si="15"/>
        <v>0</v>
      </c>
      <c r="W95" s="209"/>
      <c r="X95" s="209"/>
      <c r="Y95" s="209"/>
      <c r="Z95" s="209"/>
      <c r="AA95" s="209"/>
      <c r="AB95" s="209"/>
      <c r="AC95" s="210">
        <f t="shared" si="16"/>
        <v>0</v>
      </c>
      <c r="AD95" s="207" t="str">
        <f t="shared" si="17"/>
        <v>OK</v>
      </c>
    </row>
    <row r="96" spans="1:30" ht="39.75" customHeight="1">
      <c r="A96" s="66">
        <v>85</v>
      </c>
      <c r="B96" s="99"/>
      <c r="C96" s="91"/>
      <c r="D96" s="38" t="s">
        <v>270</v>
      </c>
      <c r="E96" s="38" t="s">
        <v>270</v>
      </c>
      <c r="F96" s="131">
        <v>261631</v>
      </c>
      <c r="K96" s="118">
        <f t="shared" si="18"/>
        <v>261631</v>
      </c>
      <c r="L96" s="26">
        <v>-261631</v>
      </c>
      <c r="M96" s="47"/>
      <c r="N96" s="48"/>
      <c r="O96" s="48"/>
      <c r="P96" s="49">
        <v>-261631</v>
      </c>
      <c r="Q96" s="119"/>
      <c r="R96" s="149"/>
      <c r="S96" s="129"/>
      <c r="T96" s="66" t="s">
        <v>421</v>
      </c>
      <c r="U96" s="128">
        <f t="shared" si="15"/>
        <v>0</v>
      </c>
      <c r="W96" s="209"/>
      <c r="X96" s="209"/>
      <c r="Y96" s="209"/>
      <c r="Z96" s="209"/>
      <c r="AA96" s="209"/>
      <c r="AB96" s="209"/>
      <c r="AC96" s="210">
        <f t="shared" si="16"/>
        <v>0</v>
      </c>
      <c r="AD96" s="207" t="str">
        <f t="shared" si="17"/>
        <v>OK</v>
      </c>
    </row>
    <row r="97" spans="1:30" ht="31.5" customHeight="1">
      <c r="A97" s="66">
        <v>86</v>
      </c>
      <c r="B97" s="99"/>
      <c r="C97" s="91"/>
      <c r="D97" s="51" t="s">
        <v>700</v>
      </c>
      <c r="E97" s="38" t="s">
        <v>701</v>
      </c>
      <c r="F97" s="131">
        <v>139000</v>
      </c>
      <c r="G97" s="47">
        <v>0</v>
      </c>
      <c r="H97" s="48">
        <v>139000</v>
      </c>
      <c r="I97" s="48">
        <v>0</v>
      </c>
      <c r="J97" s="232"/>
      <c r="K97" s="118">
        <f t="shared" si="18"/>
        <v>0</v>
      </c>
      <c r="L97" s="33">
        <v>-139000</v>
      </c>
      <c r="M97" s="47"/>
      <c r="N97" s="48">
        <v>-139000</v>
      </c>
      <c r="O97" s="48"/>
      <c r="P97" s="49">
        <v>0</v>
      </c>
      <c r="Q97" s="119"/>
      <c r="R97" s="149"/>
      <c r="S97" s="129" t="s">
        <v>664</v>
      </c>
      <c r="T97" s="66" t="s">
        <v>421</v>
      </c>
      <c r="U97" s="128">
        <f t="shared" si="15"/>
        <v>0</v>
      </c>
      <c r="W97" s="209">
        <v>0</v>
      </c>
      <c r="X97" s="209">
        <v>0</v>
      </c>
      <c r="Y97" s="209">
        <v>0</v>
      </c>
      <c r="Z97" s="209">
        <v>0</v>
      </c>
      <c r="AA97" s="209">
        <v>-139000</v>
      </c>
      <c r="AB97" s="209">
        <v>0</v>
      </c>
      <c r="AC97" s="210">
        <f t="shared" si="16"/>
        <v>-139000</v>
      </c>
      <c r="AD97" s="207" t="str">
        <f t="shared" si="17"/>
        <v>OK</v>
      </c>
    </row>
    <row r="98" spans="1:30" ht="31.5" customHeight="1">
      <c r="A98" s="66">
        <v>87</v>
      </c>
      <c r="B98" s="99"/>
      <c r="C98" s="91"/>
      <c r="D98" s="50"/>
      <c r="E98" s="38" t="s">
        <v>702</v>
      </c>
      <c r="F98" s="131">
        <v>7000</v>
      </c>
      <c r="G98" s="47">
        <v>0</v>
      </c>
      <c r="H98" s="48">
        <v>7000</v>
      </c>
      <c r="I98" s="48">
        <v>0</v>
      </c>
      <c r="J98" s="232"/>
      <c r="K98" s="118">
        <f t="shared" si="18"/>
        <v>0</v>
      </c>
      <c r="L98" s="33">
        <v>-7000</v>
      </c>
      <c r="M98" s="47"/>
      <c r="N98" s="48">
        <v>-7000</v>
      </c>
      <c r="O98" s="48"/>
      <c r="P98" s="49">
        <v>0</v>
      </c>
      <c r="Q98" s="119"/>
      <c r="R98" s="149"/>
      <c r="S98" s="129" t="s">
        <v>664</v>
      </c>
      <c r="T98" s="66" t="s">
        <v>421</v>
      </c>
      <c r="U98" s="128">
        <f t="shared" si="15"/>
        <v>0</v>
      </c>
      <c r="W98" s="209">
        <v>0</v>
      </c>
      <c r="X98" s="209">
        <v>0</v>
      </c>
      <c r="Y98" s="209">
        <v>0</v>
      </c>
      <c r="Z98" s="209">
        <v>0</v>
      </c>
      <c r="AA98" s="209">
        <v>-7000</v>
      </c>
      <c r="AB98" s="209">
        <v>0</v>
      </c>
      <c r="AC98" s="210">
        <f t="shared" si="16"/>
        <v>-7000</v>
      </c>
      <c r="AD98" s="207" t="str">
        <f t="shared" si="17"/>
        <v>OK</v>
      </c>
    </row>
    <row r="99" spans="1:30" ht="60.75" customHeight="1">
      <c r="A99" s="66">
        <v>88</v>
      </c>
      <c r="B99" s="99"/>
      <c r="C99" s="91"/>
      <c r="D99" s="50" t="s">
        <v>851</v>
      </c>
      <c r="E99" s="38" t="s">
        <v>63</v>
      </c>
      <c r="F99" s="131">
        <v>274445</v>
      </c>
      <c r="G99" s="62"/>
      <c r="H99" s="62"/>
      <c r="I99" s="62"/>
      <c r="J99" s="329"/>
      <c r="K99" s="118">
        <f t="shared" si="18"/>
        <v>274445</v>
      </c>
      <c r="L99" s="33">
        <v>-274445</v>
      </c>
      <c r="M99" s="47"/>
      <c r="N99" s="48"/>
      <c r="O99" s="48">
        <v>-274000</v>
      </c>
      <c r="P99" s="49">
        <v>-445</v>
      </c>
      <c r="Q99" s="119"/>
      <c r="R99" s="149"/>
      <c r="S99" s="129" t="s">
        <v>852</v>
      </c>
      <c r="T99" s="66" t="s">
        <v>421</v>
      </c>
      <c r="U99" s="128">
        <f t="shared" si="15"/>
        <v>0</v>
      </c>
      <c r="W99" s="209"/>
      <c r="X99" s="209"/>
      <c r="Y99" s="209"/>
      <c r="Z99" s="209"/>
      <c r="AA99" s="209"/>
      <c r="AB99" s="209"/>
      <c r="AC99" s="210">
        <f t="shared" si="16"/>
        <v>0</v>
      </c>
      <c r="AD99" s="207" t="str">
        <f t="shared" si="17"/>
        <v>OK</v>
      </c>
    </row>
    <row r="100" spans="1:30" ht="60.75" customHeight="1">
      <c r="A100" s="66">
        <v>89</v>
      </c>
      <c r="B100" s="99"/>
      <c r="C100" s="93" t="s">
        <v>271</v>
      </c>
      <c r="D100" s="38" t="s">
        <v>40</v>
      </c>
      <c r="E100" s="38" t="s">
        <v>703</v>
      </c>
      <c r="F100" s="131">
        <v>1086000</v>
      </c>
      <c r="K100" s="118">
        <f t="shared" si="18"/>
        <v>1086000</v>
      </c>
      <c r="L100" s="26">
        <v>-243000</v>
      </c>
      <c r="M100" s="47"/>
      <c r="N100" s="48"/>
      <c r="O100" s="48">
        <v>-242900</v>
      </c>
      <c r="P100" s="49">
        <v>-100</v>
      </c>
      <c r="Q100" s="119"/>
      <c r="R100" s="149"/>
      <c r="S100" s="129" t="s">
        <v>96</v>
      </c>
      <c r="T100" s="66" t="s">
        <v>421</v>
      </c>
      <c r="U100" s="128">
        <f t="shared" si="15"/>
        <v>0</v>
      </c>
      <c r="W100" s="209"/>
      <c r="X100" s="209"/>
      <c r="Y100" s="209"/>
      <c r="Z100" s="209"/>
      <c r="AA100" s="209"/>
      <c r="AB100" s="209"/>
      <c r="AC100" s="210">
        <f t="shared" si="16"/>
        <v>0</v>
      </c>
      <c r="AD100" s="207" t="str">
        <f t="shared" si="17"/>
        <v>OK</v>
      </c>
    </row>
    <row r="101" spans="1:30" ht="68.25" customHeight="1">
      <c r="A101" s="66">
        <v>90</v>
      </c>
      <c r="B101" s="99"/>
      <c r="C101" s="90" t="s">
        <v>669</v>
      </c>
      <c r="D101" s="38" t="s">
        <v>674</v>
      </c>
      <c r="E101" s="38"/>
      <c r="F101" s="131">
        <v>5482755</v>
      </c>
      <c r="G101" s="47">
        <v>2733316</v>
      </c>
      <c r="H101" s="48">
        <v>927228</v>
      </c>
      <c r="I101" s="48">
        <v>1821900</v>
      </c>
      <c r="J101" s="232">
        <v>311</v>
      </c>
      <c r="K101" s="118">
        <f t="shared" si="18"/>
        <v>0</v>
      </c>
      <c r="L101" s="33">
        <v>-1919000</v>
      </c>
      <c r="M101" s="34">
        <v>-956678</v>
      </c>
      <c r="N101" s="48">
        <v>-324536</v>
      </c>
      <c r="O101" s="48">
        <v>-637700</v>
      </c>
      <c r="P101" s="49">
        <v>-86</v>
      </c>
      <c r="Q101" s="119"/>
      <c r="R101" s="149"/>
      <c r="S101" s="129" t="s">
        <v>524</v>
      </c>
      <c r="T101" s="66" t="s">
        <v>421</v>
      </c>
      <c r="U101" s="128">
        <f aca="true" t="shared" si="19" ref="U101:U133">L101-M101-N101-O101-P101</f>
        <v>0</v>
      </c>
      <c r="W101" s="48">
        <v>-324536</v>
      </c>
      <c r="X101" s="209">
        <v>0</v>
      </c>
      <c r="Y101" s="209">
        <v>0</v>
      </c>
      <c r="Z101" s="209">
        <v>0</v>
      </c>
      <c r="AA101" s="209">
        <v>0</v>
      </c>
      <c r="AB101" s="209">
        <v>0</v>
      </c>
      <c r="AC101" s="210">
        <f aca="true" t="shared" si="20" ref="AC101:AC133">SUM(W101:AB101)</f>
        <v>-324536</v>
      </c>
      <c r="AD101" s="207" t="str">
        <f aca="true" t="shared" si="21" ref="AD101:AD133">IF(N101=AC101,"OK","OUT")</f>
        <v>OK</v>
      </c>
    </row>
    <row r="102" spans="1:30" ht="50.25" customHeight="1">
      <c r="A102" s="66">
        <v>91</v>
      </c>
      <c r="B102" s="99"/>
      <c r="C102" s="91"/>
      <c r="D102" s="38" t="s">
        <v>602</v>
      </c>
      <c r="E102" s="38" t="s">
        <v>273</v>
      </c>
      <c r="F102" s="131">
        <v>8578394</v>
      </c>
      <c r="G102" s="47">
        <v>4485173</v>
      </c>
      <c r="H102" s="48">
        <v>1796539</v>
      </c>
      <c r="I102" s="48">
        <v>2296100</v>
      </c>
      <c r="J102" s="232">
        <v>582</v>
      </c>
      <c r="K102" s="118">
        <f t="shared" si="18"/>
        <v>0</v>
      </c>
      <c r="L102" s="33">
        <v>-3002000</v>
      </c>
      <c r="M102" s="34">
        <v>-1569581</v>
      </c>
      <c r="N102" s="48">
        <v>-628697</v>
      </c>
      <c r="O102" s="48">
        <v>-803600</v>
      </c>
      <c r="P102" s="49">
        <v>-122</v>
      </c>
      <c r="Q102" s="119"/>
      <c r="R102" s="149"/>
      <c r="S102" s="129" t="s">
        <v>853</v>
      </c>
      <c r="T102" s="66" t="s">
        <v>421</v>
      </c>
      <c r="U102" s="128">
        <f t="shared" si="19"/>
        <v>0</v>
      </c>
      <c r="W102" s="48">
        <v>-628697</v>
      </c>
      <c r="X102" s="209">
        <v>0</v>
      </c>
      <c r="Y102" s="209">
        <v>0</v>
      </c>
      <c r="Z102" s="209">
        <v>0</v>
      </c>
      <c r="AA102" s="209">
        <v>0</v>
      </c>
      <c r="AB102" s="209">
        <v>0</v>
      </c>
      <c r="AC102" s="210">
        <f t="shared" si="20"/>
        <v>-628697</v>
      </c>
      <c r="AD102" s="207" t="str">
        <f t="shared" si="21"/>
        <v>OK</v>
      </c>
    </row>
    <row r="103" spans="1:30" ht="31.5" customHeight="1">
      <c r="A103" s="66">
        <v>92</v>
      </c>
      <c r="B103" s="99"/>
      <c r="C103" s="92"/>
      <c r="D103" s="38" t="s">
        <v>412</v>
      </c>
      <c r="E103" s="38" t="s">
        <v>413</v>
      </c>
      <c r="F103" s="131">
        <v>636000</v>
      </c>
      <c r="G103" s="47">
        <v>0</v>
      </c>
      <c r="H103" s="48">
        <v>318000</v>
      </c>
      <c r="I103" s="48">
        <v>317000</v>
      </c>
      <c r="J103" s="232">
        <v>1000</v>
      </c>
      <c r="K103" s="118">
        <f t="shared" si="18"/>
        <v>0</v>
      </c>
      <c r="L103" s="33">
        <v>-222600</v>
      </c>
      <c r="M103" s="34">
        <v>0</v>
      </c>
      <c r="N103" s="48">
        <v>-111300</v>
      </c>
      <c r="O103" s="48">
        <v>-111000</v>
      </c>
      <c r="P103" s="49">
        <v>-300</v>
      </c>
      <c r="Q103" s="119"/>
      <c r="R103" s="149"/>
      <c r="S103" s="129" t="s">
        <v>524</v>
      </c>
      <c r="T103" s="66" t="s">
        <v>421</v>
      </c>
      <c r="U103" s="128">
        <f t="shared" si="19"/>
        <v>0</v>
      </c>
      <c r="W103" s="209">
        <v>-111300</v>
      </c>
      <c r="X103" s="209">
        <v>0</v>
      </c>
      <c r="Y103" s="209">
        <v>0</v>
      </c>
      <c r="Z103" s="209">
        <v>0</v>
      </c>
      <c r="AA103" s="209">
        <v>0</v>
      </c>
      <c r="AB103" s="209">
        <v>0</v>
      </c>
      <c r="AC103" s="210">
        <f t="shared" si="20"/>
        <v>-111300</v>
      </c>
      <c r="AD103" s="207" t="str">
        <f t="shared" si="21"/>
        <v>OK</v>
      </c>
    </row>
    <row r="104" spans="1:30" ht="66" customHeight="1">
      <c r="A104" s="66">
        <v>93</v>
      </c>
      <c r="B104" s="99"/>
      <c r="C104" s="90" t="s">
        <v>274</v>
      </c>
      <c r="D104" s="38" t="s">
        <v>275</v>
      </c>
      <c r="E104" s="38" t="s">
        <v>619</v>
      </c>
      <c r="F104" s="131">
        <v>1270420</v>
      </c>
      <c r="G104" s="47">
        <v>442110</v>
      </c>
      <c r="H104" s="48">
        <v>2100</v>
      </c>
      <c r="I104" s="48">
        <v>825900</v>
      </c>
      <c r="J104" s="232">
        <v>310</v>
      </c>
      <c r="K104" s="118">
        <f t="shared" si="18"/>
        <v>0</v>
      </c>
      <c r="L104" s="33">
        <v>-444000</v>
      </c>
      <c r="M104" s="34">
        <v>-154513</v>
      </c>
      <c r="N104" s="48">
        <v>-734</v>
      </c>
      <c r="O104" s="48">
        <v>-288600</v>
      </c>
      <c r="P104" s="49">
        <v>-153</v>
      </c>
      <c r="Q104" s="119"/>
      <c r="R104" s="149"/>
      <c r="S104" s="129" t="s">
        <v>532</v>
      </c>
      <c r="T104" s="66" t="s">
        <v>421</v>
      </c>
      <c r="U104" s="128">
        <f t="shared" si="19"/>
        <v>0</v>
      </c>
      <c r="W104" s="48">
        <v>-734</v>
      </c>
      <c r="X104" s="48"/>
      <c r="Y104" s="209"/>
      <c r="Z104" s="209"/>
      <c r="AA104" s="209"/>
      <c r="AB104" s="209"/>
      <c r="AC104" s="210">
        <f t="shared" si="20"/>
        <v>-734</v>
      </c>
      <c r="AD104" s="207" t="str">
        <f t="shared" si="21"/>
        <v>OK</v>
      </c>
    </row>
    <row r="105" spans="1:30" ht="41.25" customHeight="1">
      <c r="A105" s="66">
        <v>94</v>
      </c>
      <c r="B105" s="99"/>
      <c r="C105" s="91"/>
      <c r="D105" s="38" t="s">
        <v>276</v>
      </c>
      <c r="E105" s="38" t="s">
        <v>277</v>
      </c>
      <c r="F105" s="131">
        <v>747154</v>
      </c>
      <c r="G105" s="47">
        <v>0</v>
      </c>
      <c r="H105" s="48">
        <v>1500</v>
      </c>
      <c r="I105" s="48">
        <v>745000</v>
      </c>
      <c r="J105" s="232">
        <v>654</v>
      </c>
      <c r="K105" s="118">
        <f t="shared" si="18"/>
        <v>0</v>
      </c>
      <c r="L105" s="33">
        <v>-149000</v>
      </c>
      <c r="M105" s="34">
        <v>0</v>
      </c>
      <c r="N105" s="48">
        <v>-299</v>
      </c>
      <c r="O105" s="48">
        <v>-148600</v>
      </c>
      <c r="P105" s="49">
        <v>-101</v>
      </c>
      <c r="Q105" s="119"/>
      <c r="R105" s="149"/>
      <c r="S105" s="129" t="s">
        <v>394</v>
      </c>
      <c r="T105" s="66" t="s">
        <v>421</v>
      </c>
      <c r="U105" s="128">
        <f t="shared" si="19"/>
        <v>0</v>
      </c>
      <c r="W105" s="209">
        <v>0</v>
      </c>
      <c r="X105" s="209">
        <v>0</v>
      </c>
      <c r="Y105" s="209">
        <v>0</v>
      </c>
      <c r="Z105" s="48">
        <v>-299</v>
      </c>
      <c r="AA105" s="209">
        <v>0</v>
      </c>
      <c r="AB105" s="209">
        <v>0</v>
      </c>
      <c r="AC105" s="210">
        <f t="shared" si="20"/>
        <v>-299</v>
      </c>
      <c r="AD105" s="207" t="str">
        <f t="shared" si="21"/>
        <v>OK</v>
      </c>
    </row>
    <row r="106" spans="1:30" ht="53.25" customHeight="1">
      <c r="A106" s="66">
        <v>95</v>
      </c>
      <c r="B106" s="99"/>
      <c r="C106" s="91"/>
      <c r="D106" s="38" t="s">
        <v>278</v>
      </c>
      <c r="E106" s="38" t="s">
        <v>279</v>
      </c>
      <c r="F106" s="131">
        <v>601900</v>
      </c>
      <c r="G106" s="47">
        <v>0</v>
      </c>
      <c r="H106" s="48">
        <v>186533</v>
      </c>
      <c r="I106" s="48">
        <v>409900</v>
      </c>
      <c r="J106" s="232">
        <v>5467</v>
      </c>
      <c r="K106" s="118">
        <f t="shared" si="18"/>
        <v>0</v>
      </c>
      <c r="L106" s="26">
        <v>-601900</v>
      </c>
      <c r="M106" s="47"/>
      <c r="N106" s="48">
        <v>-186533</v>
      </c>
      <c r="O106" s="48">
        <v>-409900</v>
      </c>
      <c r="P106" s="49">
        <v>-5467</v>
      </c>
      <c r="Q106" s="119"/>
      <c r="R106" s="149"/>
      <c r="S106" s="129" t="s">
        <v>429</v>
      </c>
      <c r="T106" s="66" t="s">
        <v>421</v>
      </c>
      <c r="U106" s="128">
        <f t="shared" si="19"/>
        <v>0</v>
      </c>
      <c r="W106" s="209">
        <v>-186533</v>
      </c>
      <c r="X106" s="209"/>
      <c r="Y106" s="209"/>
      <c r="Z106" s="209"/>
      <c r="AA106" s="209"/>
      <c r="AB106" s="209"/>
      <c r="AC106" s="210">
        <f t="shared" si="20"/>
        <v>-186533</v>
      </c>
      <c r="AD106" s="207" t="str">
        <f t="shared" si="21"/>
        <v>OK</v>
      </c>
    </row>
    <row r="107" spans="1:30" ht="50.25" customHeight="1">
      <c r="A107" s="66">
        <v>96</v>
      </c>
      <c r="B107" s="99"/>
      <c r="C107" s="91"/>
      <c r="D107" s="38" t="s">
        <v>854</v>
      </c>
      <c r="E107" s="38" t="s">
        <v>855</v>
      </c>
      <c r="F107" s="131">
        <v>57177</v>
      </c>
      <c r="J107" s="394">
        <v>57177</v>
      </c>
      <c r="K107" s="118">
        <f t="shared" si="18"/>
        <v>0</v>
      </c>
      <c r="L107" s="26">
        <v>-57177</v>
      </c>
      <c r="M107" s="47"/>
      <c r="N107" s="48"/>
      <c r="O107" s="48"/>
      <c r="P107" s="49">
        <v>-57177</v>
      </c>
      <c r="Q107" s="119"/>
      <c r="R107" s="149"/>
      <c r="S107" s="129" t="s">
        <v>856</v>
      </c>
      <c r="T107" s="66" t="s">
        <v>421</v>
      </c>
      <c r="U107" s="128">
        <f t="shared" si="19"/>
        <v>0</v>
      </c>
      <c r="W107" s="209"/>
      <c r="X107" s="209"/>
      <c r="Y107" s="209"/>
      <c r="Z107" s="209"/>
      <c r="AA107" s="209"/>
      <c r="AB107" s="209"/>
      <c r="AC107" s="210">
        <f t="shared" si="20"/>
        <v>0</v>
      </c>
      <c r="AD107" s="207" t="str">
        <f t="shared" si="21"/>
        <v>OK</v>
      </c>
    </row>
    <row r="108" spans="1:30" ht="54" customHeight="1">
      <c r="A108" s="66">
        <v>97</v>
      </c>
      <c r="B108" s="99"/>
      <c r="C108" s="91"/>
      <c r="D108" s="38" t="s">
        <v>281</v>
      </c>
      <c r="E108" s="38" t="s">
        <v>620</v>
      </c>
      <c r="F108" s="131">
        <v>415628</v>
      </c>
      <c r="G108" s="47">
        <v>0</v>
      </c>
      <c r="H108" s="48">
        <v>0</v>
      </c>
      <c r="I108" s="48">
        <v>163000</v>
      </c>
      <c r="J108" s="232">
        <v>252628</v>
      </c>
      <c r="K108" s="118">
        <f t="shared" si="18"/>
        <v>0</v>
      </c>
      <c r="L108" s="33">
        <v>-208000</v>
      </c>
      <c r="M108" s="34">
        <v>0</v>
      </c>
      <c r="N108" s="48">
        <v>0</v>
      </c>
      <c r="O108" s="48">
        <v>-81600</v>
      </c>
      <c r="P108" s="49">
        <v>-126400</v>
      </c>
      <c r="Q108" s="119"/>
      <c r="R108" s="149"/>
      <c r="S108" s="129" t="s">
        <v>533</v>
      </c>
      <c r="T108" s="66" t="s">
        <v>421</v>
      </c>
      <c r="U108" s="128">
        <f t="shared" si="19"/>
        <v>0</v>
      </c>
      <c r="W108" s="209"/>
      <c r="X108" s="209"/>
      <c r="Y108" s="209"/>
      <c r="Z108" s="209"/>
      <c r="AA108" s="209"/>
      <c r="AB108" s="209"/>
      <c r="AC108" s="210">
        <f t="shared" si="20"/>
        <v>0</v>
      </c>
      <c r="AD108" s="207" t="str">
        <f t="shared" si="21"/>
        <v>OK</v>
      </c>
    </row>
    <row r="109" spans="1:30" ht="54" customHeight="1">
      <c r="A109" s="66">
        <v>98</v>
      </c>
      <c r="B109" s="99"/>
      <c r="C109" s="90" t="s">
        <v>422</v>
      </c>
      <c r="D109" s="38" t="s">
        <v>534</v>
      </c>
      <c r="E109" s="38"/>
      <c r="F109" s="131">
        <v>10254</v>
      </c>
      <c r="K109" s="118">
        <f t="shared" si="18"/>
        <v>10254</v>
      </c>
      <c r="L109" s="26">
        <v>-5000</v>
      </c>
      <c r="M109" s="47">
        <v>-1765</v>
      </c>
      <c r="N109" s="48"/>
      <c r="O109" s="48"/>
      <c r="P109" s="49">
        <v>-3235</v>
      </c>
      <c r="Q109" s="119"/>
      <c r="R109" s="149"/>
      <c r="S109" s="129" t="s">
        <v>533</v>
      </c>
      <c r="T109" s="66" t="s">
        <v>421</v>
      </c>
      <c r="U109" s="128">
        <f t="shared" si="19"/>
        <v>0</v>
      </c>
      <c r="W109" s="209"/>
      <c r="X109" s="209"/>
      <c r="Y109" s="209"/>
      <c r="Z109" s="209"/>
      <c r="AA109" s="209"/>
      <c r="AB109" s="209"/>
      <c r="AC109" s="210">
        <f t="shared" si="20"/>
        <v>0</v>
      </c>
      <c r="AD109" s="207" t="str">
        <f t="shared" si="21"/>
        <v>OK</v>
      </c>
    </row>
    <row r="110" spans="1:30" ht="60.75" customHeight="1">
      <c r="A110" s="66">
        <v>99</v>
      </c>
      <c r="B110" s="99"/>
      <c r="D110" s="38" t="s">
        <v>282</v>
      </c>
      <c r="E110" s="38" t="s">
        <v>801</v>
      </c>
      <c r="F110" s="131">
        <v>1261800</v>
      </c>
      <c r="G110" s="47">
        <v>692060</v>
      </c>
      <c r="H110" s="48">
        <v>284870</v>
      </c>
      <c r="I110" s="48">
        <v>275000</v>
      </c>
      <c r="J110" s="232">
        <v>9870</v>
      </c>
      <c r="K110" s="118">
        <f t="shared" si="18"/>
        <v>0</v>
      </c>
      <c r="L110" s="33">
        <v>-442000</v>
      </c>
      <c r="M110" s="34">
        <v>-242400</v>
      </c>
      <c r="N110" s="48">
        <v>-99700</v>
      </c>
      <c r="O110" s="48">
        <v>-96300</v>
      </c>
      <c r="P110" s="49">
        <v>-3600</v>
      </c>
      <c r="Q110" s="119"/>
      <c r="R110" s="149"/>
      <c r="S110" s="129" t="s">
        <v>532</v>
      </c>
      <c r="T110" s="66" t="s">
        <v>421</v>
      </c>
      <c r="U110" s="211">
        <f t="shared" si="19"/>
        <v>0</v>
      </c>
      <c r="W110" s="48">
        <v>-99700</v>
      </c>
      <c r="X110" s="209">
        <v>0</v>
      </c>
      <c r="Y110" s="209">
        <v>0</v>
      </c>
      <c r="Z110" s="209">
        <v>0</v>
      </c>
      <c r="AA110" s="209">
        <v>0</v>
      </c>
      <c r="AB110" s="209">
        <v>0</v>
      </c>
      <c r="AC110" s="210">
        <f t="shared" si="20"/>
        <v>-99700</v>
      </c>
      <c r="AD110" s="207" t="str">
        <f t="shared" si="21"/>
        <v>OK</v>
      </c>
    </row>
    <row r="111" spans="1:30" ht="55.5" customHeight="1">
      <c r="A111" s="66">
        <v>100</v>
      </c>
      <c r="B111" s="99"/>
      <c r="C111" s="91"/>
      <c r="D111" s="38" t="s">
        <v>283</v>
      </c>
      <c r="E111" s="38" t="s">
        <v>670</v>
      </c>
      <c r="F111" s="131">
        <v>990562</v>
      </c>
      <c r="G111" s="47">
        <v>495196</v>
      </c>
      <c r="H111" s="48">
        <v>0</v>
      </c>
      <c r="I111" s="48">
        <v>493600</v>
      </c>
      <c r="J111" s="232">
        <v>1766</v>
      </c>
      <c r="K111" s="118">
        <f t="shared" si="18"/>
        <v>0</v>
      </c>
      <c r="L111" s="33">
        <v>-347000</v>
      </c>
      <c r="M111" s="34">
        <v>-173470</v>
      </c>
      <c r="N111" s="48">
        <v>0</v>
      </c>
      <c r="O111" s="48">
        <v>-172900</v>
      </c>
      <c r="P111" s="49">
        <v>-630</v>
      </c>
      <c r="Q111" s="119"/>
      <c r="R111" s="149"/>
      <c r="S111" s="129" t="s">
        <v>532</v>
      </c>
      <c r="T111" s="66" t="s">
        <v>421</v>
      </c>
      <c r="U111" s="128">
        <f t="shared" si="19"/>
        <v>0</v>
      </c>
      <c r="W111" s="209">
        <v>0</v>
      </c>
      <c r="X111" s="209">
        <v>0</v>
      </c>
      <c r="Y111" s="209">
        <v>0</v>
      </c>
      <c r="Z111" s="209">
        <v>0</v>
      </c>
      <c r="AA111" s="209">
        <v>0</v>
      </c>
      <c r="AB111" s="209">
        <v>0</v>
      </c>
      <c r="AC111" s="210">
        <f t="shared" si="20"/>
        <v>0</v>
      </c>
      <c r="AD111" s="207" t="str">
        <f t="shared" si="21"/>
        <v>OK</v>
      </c>
    </row>
    <row r="112" spans="1:30" ht="107.25" customHeight="1">
      <c r="A112" s="66">
        <v>101</v>
      </c>
      <c r="B112" s="99"/>
      <c r="C112" s="91"/>
      <c r="D112" s="38" t="s">
        <v>284</v>
      </c>
      <c r="E112" s="38" t="s">
        <v>621</v>
      </c>
      <c r="F112" s="131">
        <v>143488</v>
      </c>
      <c r="G112" s="47">
        <v>0</v>
      </c>
      <c r="H112" s="48">
        <v>0</v>
      </c>
      <c r="I112" s="48">
        <v>143400</v>
      </c>
      <c r="J112" s="232">
        <v>88</v>
      </c>
      <c r="K112" s="118">
        <f aca="true" t="shared" si="22" ref="K112:K135">F112-G112-H112-I112-J112</f>
        <v>0</v>
      </c>
      <c r="L112" s="33">
        <v>-50000</v>
      </c>
      <c r="M112" s="34">
        <v>0</v>
      </c>
      <c r="N112" s="48">
        <v>0</v>
      </c>
      <c r="O112" s="48">
        <v>-49900</v>
      </c>
      <c r="P112" s="49">
        <v>-100</v>
      </c>
      <c r="Q112" s="119"/>
      <c r="R112" s="149"/>
      <c r="S112" s="129" t="s">
        <v>532</v>
      </c>
      <c r="T112" s="66" t="s">
        <v>421</v>
      </c>
      <c r="U112" s="128">
        <f t="shared" si="19"/>
        <v>0</v>
      </c>
      <c r="W112" s="209">
        <v>0</v>
      </c>
      <c r="X112" s="209">
        <v>0</v>
      </c>
      <c r="Y112" s="209">
        <v>0</v>
      </c>
      <c r="Z112" s="209">
        <v>0</v>
      </c>
      <c r="AA112" s="209">
        <v>0</v>
      </c>
      <c r="AB112" s="209">
        <v>0</v>
      </c>
      <c r="AC112" s="210">
        <f t="shared" si="20"/>
        <v>0</v>
      </c>
      <c r="AD112" s="207" t="str">
        <f t="shared" si="21"/>
        <v>OK</v>
      </c>
    </row>
    <row r="113" spans="1:30" ht="58.5" customHeight="1" thickBot="1">
      <c r="A113" s="66">
        <v>102</v>
      </c>
      <c r="B113" s="99"/>
      <c r="C113" s="91"/>
      <c r="D113" s="38" t="s">
        <v>750</v>
      </c>
      <c r="E113" s="38"/>
      <c r="F113" s="131">
        <v>26918</v>
      </c>
      <c r="G113" s="39"/>
      <c r="H113" s="40">
        <v>11509</v>
      </c>
      <c r="I113" s="40"/>
      <c r="J113" s="233">
        <v>15409</v>
      </c>
      <c r="K113" s="118">
        <f t="shared" si="22"/>
        <v>0</v>
      </c>
      <c r="L113" s="33">
        <v>-13459</v>
      </c>
      <c r="M113" s="34">
        <f>-G113*0.5</f>
        <v>0</v>
      </c>
      <c r="N113" s="48">
        <v>-5755</v>
      </c>
      <c r="O113" s="48">
        <f>-I113*0.5</f>
        <v>0</v>
      </c>
      <c r="P113" s="49">
        <v>-7704</v>
      </c>
      <c r="Q113" s="119"/>
      <c r="R113" s="149"/>
      <c r="S113" s="129" t="s">
        <v>533</v>
      </c>
      <c r="T113" s="66" t="s">
        <v>421</v>
      </c>
      <c r="U113" s="128">
        <f t="shared" si="19"/>
        <v>0</v>
      </c>
      <c r="W113" s="209">
        <v>-1655</v>
      </c>
      <c r="X113" s="209"/>
      <c r="Y113" s="209"/>
      <c r="Z113" s="209">
        <v>-4100</v>
      </c>
      <c r="AA113" s="209"/>
      <c r="AB113" s="209"/>
      <c r="AC113" s="210">
        <f t="shared" si="20"/>
        <v>-5755</v>
      </c>
      <c r="AD113" s="207" t="str">
        <f t="shared" si="21"/>
        <v>OK</v>
      </c>
    </row>
    <row r="114" spans="1:30" ht="46.5" customHeight="1" thickBot="1">
      <c r="A114" s="66">
        <v>103</v>
      </c>
      <c r="B114" s="99"/>
      <c r="C114" s="240"/>
      <c r="D114" s="56" t="s">
        <v>622</v>
      </c>
      <c r="E114" s="51" t="s">
        <v>535</v>
      </c>
      <c r="F114" s="134">
        <v>4950</v>
      </c>
      <c r="G114" s="134"/>
      <c r="H114" s="134"/>
      <c r="I114" s="134"/>
      <c r="J114" s="134"/>
      <c r="K114" s="118">
        <f t="shared" si="22"/>
        <v>4950</v>
      </c>
      <c r="L114" s="30">
        <v>-4950</v>
      </c>
      <c r="M114" s="52"/>
      <c r="N114" s="53">
        <v>-607</v>
      </c>
      <c r="O114" s="53"/>
      <c r="P114" s="36">
        <v>-4343</v>
      </c>
      <c r="Q114" s="120"/>
      <c r="R114" s="67"/>
      <c r="S114" s="145" t="s">
        <v>857</v>
      </c>
      <c r="T114" s="66" t="s">
        <v>421</v>
      </c>
      <c r="U114" s="128">
        <f t="shared" si="19"/>
        <v>0</v>
      </c>
      <c r="W114" s="209"/>
      <c r="X114" s="53">
        <v>-607</v>
      </c>
      <c r="Y114" s="209"/>
      <c r="Z114" s="209"/>
      <c r="AA114" s="209"/>
      <c r="AB114" s="209"/>
      <c r="AC114" s="210">
        <f t="shared" si="20"/>
        <v>-607</v>
      </c>
      <c r="AD114" s="207" t="str">
        <f t="shared" si="21"/>
        <v>OK</v>
      </c>
    </row>
    <row r="115" spans="2:30" ht="31.5" customHeight="1" thickBot="1">
      <c r="B115" s="95"/>
      <c r="C115" s="96"/>
      <c r="D115" s="57"/>
      <c r="E115" s="57" t="s">
        <v>403</v>
      </c>
      <c r="F115" s="103">
        <f>SUM(F66:F114)</f>
        <v>107459936</v>
      </c>
      <c r="G115" s="103"/>
      <c r="H115" s="103"/>
      <c r="I115" s="103"/>
      <c r="J115" s="103"/>
      <c r="K115" s="118">
        <f t="shared" si="22"/>
        <v>107459936</v>
      </c>
      <c r="L115" s="59">
        <f>SUM(L66:L114)</f>
        <v>-61481445</v>
      </c>
      <c r="M115" s="97">
        <f>SUM(M66:M114)</f>
        <v>-13272348</v>
      </c>
      <c r="N115" s="61">
        <f>SUM(N66:N114)</f>
        <v>-2374783</v>
      </c>
      <c r="O115" s="61">
        <f>SUM(O66:O114)</f>
        <v>-43220400</v>
      </c>
      <c r="P115" s="64">
        <f>SUM(P66:P114)</f>
        <v>-2613914</v>
      </c>
      <c r="Q115" s="68"/>
      <c r="R115" s="64"/>
      <c r="S115" s="144"/>
      <c r="U115" s="128">
        <f t="shared" si="19"/>
        <v>0</v>
      </c>
      <c r="W115" s="59">
        <f aca="true" t="shared" si="23" ref="W115:AB115">SUM(W66:W114)</f>
        <v>-1831475</v>
      </c>
      <c r="X115" s="59">
        <f t="shared" si="23"/>
        <v>-10561</v>
      </c>
      <c r="Y115" s="59">
        <f t="shared" si="23"/>
        <v>0</v>
      </c>
      <c r="Z115" s="59">
        <f t="shared" si="23"/>
        <v>-4399</v>
      </c>
      <c r="AA115" s="59">
        <f t="shared" si="23"/>
        <v>-146000</v>
      </c>
      <c r="AB115" s="59">
        <f t="shared" si="23"/>
        <v>-382348</v>
      </c>
      <c r="AC115" s="210">
        <f t="shared" si="20"/>
        <v>-2374783</v>
      </c>
      <c r="AD115" s="207" t="str">
        <f t="shared" si="21"/>
        <v>OK</v>
      </c>
    </row>
    <row r="116" spans="1:30" ht="42" customHeight="1" thickBot="1">
      <c r="A116" s="66">
        <v>104</v>
      </c>
      <c r="B116" s="88" t="s">
        <v>416</v>
      </c>
      <c r="C116" s="90" t="s">
        <v>400</v>
      </c>
      <c r="D116" s="51" t="s">
        <v>401</v>
      </c>
      <c r="E116" s="51" t="s">
        <v>402</v>
      </c>
      <c r="F116" s="134">
        <v>92000</v>
      </c>
      <c r="G116" s="134"/>
      <c r="H116" s="134"/>
      <c r="I116" s="134"/>
      <c r="J116" s="134"/>
      <c r="K116" s="62">
        <f t="shared" si="22"/>
        <v>92000</v>
      </c>
      <c r="L116" s="30">
        <v>-46000</v>
      </c>
      <c r="M116" s="52">
        <v>-23000</v>
      </c>
      <c r="N116" s="53"/>
      <c r="O116" s="53"/>
      <c r="P116" s="36">
        <v>-23000</v>
      </c>
      <c r="Q116" s="120"/>
      <c r="R116" s="67"/>
      <c r="S116" s="145" t="s">
        <v>656</v>
      </c>
      <c r="T116" s="66" t="s">
        <v>421</v>
      </c>
      <c r="U116" s="128">
        <f t="shared" si="19"/>
        <v>0</v>
      </c>
      <c r="W116" s="25"/>
      <c r="X116" s="48"/>
      <c r="AA116" s="25"/>
      <c r="AC116" s="210">
        <f t="shared" si="20"/>
        <v>0</v>
      </c>
      <c r="AD116" s="207" t="str">
        <f t="shared" si="21"/>
        <v>OK</v>
      </c>
    </row>
    <row r="117" spans="2:30" ht="31.5" customHeight="1" thickBot="1">
      <c r="B117" s="95"/>
      <c r="C117" s="96"/>
      <c r="D117" s="57"/>
      <c r="E117" s="57" t="s">
        <v>403</v>
      </c>
      <c r="F117" s="103">
        <f>SUM(F116:F116)</f>
        <v>92000</v>
      </c>
      <c r="G117" s="103"/>
      <c r="H117" s="103"/>
      <c r="I117" s="103"/>
      <c r="J117" s="103"/>
      <c r="K117" s="68">
        <f t="shared" si="22"/>
        <v>92000</v>
      </c>
      <c r="L117" s="103">
        <f>SUM(L116:L116)</f>
        <v>-46000</v>
      </c>
      <c r="M117" s="104">
        <f>SUM(M116:M116)</f>
        <v>-23000</v>
      </c>
      <c r="N117" s="105">
        <f>SUM(N116:N116)</f>
        <v>0</v>
      </c>
      <c r="O117" s="105">
        <f>SUM(O116:O116)</f>
        <v>0</v>
      </c>
      <c r="P117" s="106">
        <f>SUM(P116:P116)</f>
        <v>-23000</v>
      </c>
      <c r="Q117" s="121"/>
      <c r="R117" s="106"/>
      <c r="S117" s="144"/>
      <c r="U117" s="128">
        <f t="shared" si="19"/>
        <v>0</v>
      </c>
      <c r="W117" s="103">
        <f aca="true" t="shared" si="24" ref="W117:AB117">SUM(W116:W116)</f>
        <v>0</v>
      </c>
      <c r="X117" s="103">
        <f t="shared" si="24"/>
        <v>0</v>
      </c>
      <c r="Y117" s="103">
        <f t="shared" si="24"/>
        <v>0</v>
      </c>
      <c r="Z117" s="103">
        <f t="shared" si="24"/>
        <v>0</v>
      </c>
      <c r="AA117" s="103">
        <f t="shared" si="24"/>
        <v>0</v>
      </c>
      <c r="AB117" s="103">
        <f t="shared" si="24"/>
        <v>0</v>
      </c>
      <c r="AC117" s="210">
        <f t="shared" si="20"/>
        <v>0</v>
      </c>
      <c r="AD117" s="207" t="str">
        <f t="shared" si="21"/>
        <v>OK</v>
      </c>
    </row>
    <row r="118" spans="1:30" ht="40.5" customHeight="1">
      <c r="A118" s="66">
        <v>105</v>
      </c>
      <c r="B118" s="89" t="s">
        <v>415</v>
      </c>
      <c r="C118" s="217" t="s">
        <v>571</v>
      </c>
      <c r="D118" s="50" t="s">
        <v>589</v>
      </c>
      <c r="E118" s="50"/>
      <c r="F118" s="132">
        <v>3418</v>
      </c>
      <c r="G118" s="132"/>
      <c r="H118" s="132"/>
      <c r="I118" s="132"/>
      <c r="J118" s="132"/>
      <c r="K118" s="118">
        <f t="shared" si="22"/>
        <v>3418</v>
      </c>
      <c r="L118" s="176">
        <v>-3418</v>
      </c>
      <c r="M118" s="191"/>
      <c r="N118" s="184"/>
      <c r="O118" s="184"/>
      <c r="P118" s="185">
        <v>-3418</v>
      </c>
      <c r="Q118" s="176"/>
      <c r="R118" s="186"/>
      <c r="S118" s="142" t="s">
        <v>590</v>
      </c>
      <c r="T118" s="66" t="s">
        <v>421</v>
      </c>
      <c r="U118" s="128">
        <f t="shared" si="19"/>
        <v>0</v>
      </c>
      <c r="AC118" s="210">
        <f t="shared" si="20"/>
        <v>0</v>
      </c>
      <c r="AD118" s="207" t="str">
        <f t="shared" si="21"/>
        <v>OK</v>
      </c>
    </row>
    <row r="119" spans="1:30" ht="60" customHeight="1">
      <c r="A119" s="66">
        <v>106</v>
      </c>
      <c r="B119" s="222"/>
      <c r="C119" s="178"/>
      <c r="D119" s="50" t="s">
        <v>572</v>
      </c>
      <c r="E119" s="50" t="s">
        <v>858</v>
      </c>
      <c r="F119" s="132">
        <v>217</v>
      </c>
      <c r="G119" s="132"/>
      <c r="H119" s="132"/>
      <c r="I119" s="132"/>
      <c r="J119" s="132"/>
      <c r="K119" s="118">
        <f t="shared" si="22"/>
        <v>217</v>
      </c>
      <c r="L119" s="176">
        <v>-217</v>
      </c>
      <c r="M119" s="191"/>
      <c r="N119" s="184"/>
      <c r="O119" s="184"/>
      <c r="P119" s="185">
        <v>-217</v>
      </c>
      <c r="Q119" s="176"/>
      <c r="R119" s="186"/>
      <c r="S119" s="142"/>
      <c r="T119" s="66" t="s">
        <v>421</v>
      </c>
      <c r="U119" s="128">
        <f t="shared" si="19"/>
        <v>0</v>
      </c>
      <c r="AC119" s="210">
        <f t="shared" si="20"/>
        <v>0</v>
      </c>
      <c r="AD119" s="207" t="str">
        <f t="shared" si="21"/>
        <v>OK</v>
      </c>
    </row>
    <row r="120" spans="1:30" ht="60" customHeight="1">
      <c r="A120" s="66">
        <v>107</v>
      </c>
      <c r="B120" s="222"/>
      <c r="C120" s="152"/>
      <c r="D120" s="38"/>
      <c r="E120" s="50" t="s">
        <v>859</v>
      </c>
      <c r="F120" s="132">
        <v>7000</v>
      </c>
      <c r="G120" s="132"/>
      <c r="H120" s="132"/>
      <c r="I120" s="132"/>
      <c r="J120" s="132"/>
      <c r="K120" s="118">
        <f t="shared" si="22"/>
        <v>7000</v>
      </c>
      <c r="L120" s="176">
        <v>-7000</v>
      </c>
      <c r="M120" s="191">
        <v>-7000</v>
      </c>
      <c r="N120" s="184"/>
      <c r="O120" s="184"/>
      <c r="P120" s="185"/>
      <c r="Q120" s="176"/>
      <c r="R120" s="186"/>
      <c r="S120" s="142"/>
      <c r="T120" s="66" t="s">
        <v>421</v>
      </c>
      <c r="U120" s="128">
        <f t="shared" si="19"/>
        <v>0</v>
      </c>
      <c r="AC120" s="210">
        <f t="shared" si="20"/>
        <v>0</v>
      </c>
      <c r="AD120" s="207" t="str">
        <f t="shared" si="21"/>
        <v>OK</v>
      </c>
    </row>
    <row r="121" spans="1:30" ht="60" customHeight="1">
      <c r="A121" s="66">
        <v>108</v>
      </c>
      <c r="B121" s="222"/>
      <c r="C121" s="217" t="s">
        <v>423</v>
      </c>
      <c r="D121" s="56" t="s">
        <v>751</v>
      </c>
      <c r="E121" s="50" t="s">
        <v>862</v>
      </c>
      <c r="F121" s="132">
        <v>502891</v>
      </c>
      <c r="G121" s="132"/>
      <c r="H121" s="132"/>
      <c r="I121" s="132"/>
      <c r="J121" s="132"/>
      <c r="K121" s="118">
        <f t="shared" si="22"/>
        <v>502891</v>
      </c>
      <c r="L121" s="176">
        <v>-502891</v>
      </c>
      <c r="M121" s="191">
        <v>-165315</v>
      </c>
      <c r="N121" s="184"/>
      <c r="O121" s="184"/>
      <c r="P121" s="185">
        <f>L121-M121</f>
        <v>-337576</v>
      </c>
      <c r="Q121" s="176"/>
      <c r="R121" s="186"/>
      <c r="S121" s="142"/>
      <c r="T121" s="66" t="s">
        <v>421</v>
      </c>
      <c r="U121" s="128">
        <f t="shared" si="19"/>
        <v>0</v>
      </c>
      <c r="AC121" s="210">
        <f t="shared" si="20"/>
        <v>0</v>
      </c>
      <c r="AD121" s="207" t="str">
        <f t="shared" si="21"/>
        <v>OK</v>
      </c>
    </row>
    <row r="122" spans="1:30" ht="58.5" customHeight="1">
      <c r="A122" s="66">
        <v>109</v>
      </c>
      <c r="B122" s="222"/>
      <c r="C122" s="217"/>
      <c r="D122" s="56"/>
      <c r="E122" s="38" t="s">
        <v>575</v>
      </c>
      <c r="F122" s="131">
        <v>10485</v>
      </c>
      <c r="G122" s="131"/>
      <c r="H122" s="131"/>
      <c r="I122" s="131"/>
      <c r="J122" s="131"/>
      <c r="K122" s="118">
        <f t="shared" si="22"/>
        <v>10485</v>
      </c>
      <c r="L122" s="177">
        <v>-10485</v>
      </c>
      <c r="M122" s="190"/>
      <c r="N122" s="187"/>
      <c r="O122" s="187"/>
      <c r="P122" s="188">
        <v>-10485</v>
      </c>
      <c r="Q122" s="177"/>
      <c r="R122" s="189"/>
      <c r="S122" s="129"/>
      <c r="T122" s="66" t="s">
        <v>421</v>
      </c>
      <c r="U122" s="128">
        <f t="shared" si="19"/>
        <v>0</v>
      </c>
      <c r="AC122" s="210">
        <f t="shared" si="20"/>
        <v>0</v>
      </c>
      <c r="AD122" s="207" t="str">
        <f t="shared" si="21"/>
        <v>OK</v>
      </c>
    </row>
    <row r="123" spans="1:30" ht="67.5" customHeight="1">
      <c r="A123" s="66">
        <v>110</v>
      </c>
      <c r="B123" s="222"/>
      <c r="C123" s="217"/>
      <c r="D123" s="56"/>
      <c r="E123" s="38" t="s">
        <v>577</v>
      </c>
      <c r="F123" s="131">
        <v>152403</v>
      </c>
      <c r="G123" s="131"/>
      <c r="H123" s="131"/>
      <c r="I123" s="131"/>
      <c r="J123" s="131"/>
      <c r="K123" s="118">
        <f t="shared" si="22"/>
        <v>152403</v>
      </c>
      <c r="L123" s="177">
        <v>-152403</v>
      </c>
      <c r="M123" s="190">
        <v>-49672</v>
      </c>
      <c r="N123" s="187"/>
      <c r="O123" s="187"/>
      <c r="P123" s="188">
        <f>L123-M123</f>
        <v>-102731</v>
      </c>
      <c r="Q123" s="177"/>
      <c r="R123" s="189"/>
      <c r="S123" s="129"/>
      <c r="T123" s="66" t="s">
        <v>421</v>
      </c>
      <c r="U123" s="128">
        <f t="shared" si="19"/>
        <v>0</v>
      </c>
      <c r="AC123" s="210">
        <f t="shared" si="20"/>
        <v>0</v>
      </c>
      <c r="AD123" s="207" t="str">
        <f t="shared" si="21"/>
        <v>OK</v>
      </c>
    </row>
    <row r="124" spans="1:30" ht="67.5" customHeight="1">
      <c r="A124" s="66">
        <v>111</v>
      </c>
      <c r="B124" s="222"/>
      <c r="C124" s="217"/>
      <c r="D124" s="56"/>
      <c r="E124" s="50" t="s">
        <v>864</v>
      </c>
      <c r="F124" s="132">
        <v>2947</v>
      </c>
      <c r="G124" s="132"/>
      <c r="H124" s="132"/>
      <c r="I124" s="132"/>
      <c r="J124" s="132"/>
      <c r="K124" s="118">
        <f t="shared" si="22"/>
        <v>2947</v>
      </c>
      <c r="L124" s="176">
        <v>-2947</v>
      </c>
      <c r="M124" s="179"/>
      <c r="N124" s="184"/>
      <c r="O124" s="184"/>
      <c r="P124" s="185">
        <v>-2947</v>
      </c>
      <c r="Q124" s="176"/>
      <c r="R124" s="186"/>
      <c r="S124" s="142" t="s">
        <v>298</v>
      </c>
      <c r="T124" s="66" t="s">
        <v>752</v>
      </c>
      <c r="U124" s="128">
        <f t="shared" si="19"/>
        <v>0</v>
      </c>
      <c r="AC124" s="210">
        <f t="shared" si="20"/>
        <v>0</v>
      </c>
      <c r="AD124" s="207" t="str">
        <f t="shared" si="21"/>
        <v>OK</v>
      </c>
    </row>
    <row r="125" spans="1:31" ht="52.5" customHeight="1">
      <c r="A125" s="66">
        <v>112</v>
      </c>
      <c r="B125" s="89"/>
      <c r="C125" s="217"/>
      <c r="D125" s="38" t="s">
        <v>596</v>
      </c>
      <c r="E125" s="38" t="s">
        <v>597</v>
      </c>
      <c r="F125" s="131">
        <v>20796</v>
      </c>
      <c r="G125" s="131"/>
      <c r="H125" s="131"/>
      <c r="I125" s="131"/>
      <c r="J125" s="131"/>
      <c r="K125" s="118">
        <f t="shared" si="22"/>
        <v>20796</v>
      </c>
      <c r="L125" s="177">
        <v>-20796</v>
      </c>
      <c r="M125" s="190"/>
      <c r="N125" s="187"/>
      <c r="O125" s="187"/>
      <c r="P125" s="188">
        <v>-20796</v>
      </c>
      <c r="Q125" s="177"/>
      <c r="R125" s="189"/>
      <c r="S125" s="129"/>
      <c r="T125" s="66" t="s">
        <v>421</v>
      </c>
      <c r="U125" s="128">
        <f t="shared" si="19"/>
        <v>0</v>
      </c>
      <c r="AC125" s="210">
        <f t="shared" si="20"/>
        <v>0</v>
      </c>
      <c r="AD125" s="207" t="str">
        <f t="shared" si="21"/>
        <v>OK</v>
      </c>
      <c r="AE125" s="25"/>
    </row>
    <row r="126" spans="1:31" ht="52.5" customHeight="1">
      <c r="A126" s="66">
        <v>113</v>
      </c>
      <c r="B126" s="89"/>
      <c r="C126" s="92"/>
      <c r="D126" s="38" t="s">
        <v>591</v>
      </c>
      <c r="E126" s="38" t="s">
        <v>592</v>
      </c>
      <c r="F126" s="131">
        <v>515165</v>
      </c>
      <c r="G126" s="131"/>
      <c r="H126" s="131"/>
      <c r="I126" s="131"/>
      <c r="J126" s="131"/>
      <c r="K126" s="118">
        <f t="shared" si="22"/>
        <v>515165</v>
      </c>
      <c r="L126" s="177">
        <v>-154000</v>
      </c>
      <c r="M126" s="190"/>
      <c r="N126" s="187"/>
      <c r="O126" s="187"/>
      <c r="P126" s="188">
        <v>-154000</v>
      </c>
      <c r="Q126" s="177"/>
      <c r="R126" s="189"/>
      <c r="S126" s="129" t="s">
        <v>1</v>
      </c>
      <c r="T126" s="66" t="s">
        <v>421</v>
      </c>
      <c r="U126" s="128">
        <f t="shared" si="19"/>
        <v>0</v>
      </c>
      <c r="AC126" s="210">
        <f t="shared" si="20"/>
        <v>0</v>
      </c>
      <c r="AD126" s="207" t="str">
        <f t="shared" si="21"/>
        <v>OK</v>
      </c>
      <c r="AE126" s="25"/>
    </row>
    <row r="127" spans="1:31" ht="52.5" customHeight="1">
      <c r="A127" s="66">
        <v>114</v>
      </c>
      <c r="B127" s="89"/>
      <c r="C127" s="218" t="s">
        <v>593</v>
      </c>
      <c r="D127" s="38" t="s">
        <v>594</v>
      </c>
      <c r="E127" s="38"/>
      <c r="F127" s="131">
        <v>99299563</v>
      </c>
      <c r="G127" s="131"/>
      <c r="H127" s="131"/>
      <c r="I127" s="131"/>
      <c r="J127" s="131"/>
      <c r="K127" s="118">
        <f>F127-G127-H127-I127-J127</f>
        <v>99299563</v>
      </c>
      <c r="L127" s="26">
        <v>-43145</v>
      </c>
      <c r="M127" s="47"/>
      <c r="N127" s="48"/>
      <c r="O127" s="48">
        <v>-43100</v>
      </c>
      <c r="P127" s="49">
        <v>-45</v>
      </c>
      <c r="Q127" s="177"/>
      <c r="R127" s="189"/>
      <c r="S127" s="129" t="s">
        <v>705</v>
      </c>
      <c r="T127" s="66" t="s">
        <v>421</v>
      </c>
      <c r="U127" s="128">
        <f t="shared" si="19"/>
        <v>0</v>
      </c>
      <c r="AA127" s="48"/>
      <c r="AB127" s="25"/>
      <c r="AC127" s="210">
        <f t="shared" si="20"/>
        <v>0</v>
      </c>
      <c r="AD127" s="207" t="str">
        <f>IF(O127=AC127,"OK","OUT")</f>
        <v>OUT</v>
      </c>
      <c r="AE127" s="48">
        <v>100000</v>
      </c>
    </row>
    <row r="128" spans="1:30" ht="37.5" customHeight="1">
      <c r="A128" s="66">
        <v>115</v>
      </c>
      <c r="B128" s="89"/>
      <c r="C128" s="217" t="s">
        <v>213</v>
      </c>
      <c r="D128" s="38" t="s">
        <v>215</v>
      </c>
      <c r="E128" s="38" t="s">
        <v>44</v>
      </c>
      <c r="F128" s="131">
        <v>20340</v>
      </c>
      <c r="G128" s="131"/>
      <c r="H128" s="131"/>
      <c r="I128" s="131"/>
      <c r="J128" s="131"/>
      <c r="K128" s="118">
        <f t="shared" si="22"/>
        <v>20340</v>
      </c>
      <c r="L128" s="26">
        <v>-20340</v>
      </c>
      <c r="M128" s="47"/>
      <c r="N128" s="48">
        <v>-352</v>
      </c>
      <c r="O128" s="48"/>
      <c r="P128" s="49">
        <f>L128-N128</f>
        <v>-19988</v>
      </c>
      <c r="Q128" s="119"/>
      <c r="R128" s="149"/>
      <c r="S128" s="129"/>
      <c r="T128" s="66" t="s">
        <v>421</v>
      </c>
      <c r="U128" s="128">
        <f t="shared" si="19"/>
        <v>0</v>
      </c>
      <c r="X128" s="48">
        <v>-352</v>
      </c>
      <c r="AC128" s="210">
        <f t="shared" si="20"/>
        <v>-352</v>
      </c>
      <c r="AD128" s="207" t="str">
        <f t="shared" si="21"/>
        <v>OK</v>
      </c>
    </row>
    <row r="129" spans="1:30" ht="55.5" customHeight="1">
      <c r="A129" s="66">
        <v>116</v>
      </c>
      <c r="B129" s="89"/>
      <c r="C129" s="217"/>
      <c r="D129" s="38" t="s">
        <v>214</v>
      </c>
      <c r="E129" s="38" t="s">
        <v>45</v>
      </c>
      <c r="F129" s="131">
        <v>3480</v>
      </c>
      <c r="G129" s="131"/>
      <c r="H129" s="131"/>
      <c r="I129" s="131"/>
      <c r="J129" s="131"/>
      <c r="K129" s="118">
        <f t="shared" si="22"/>
        <v>3480</v>
      </c>
      <c r="L129" s="26">
        <v>-3480</v>
      </c>
      <c r="M129" s="47"/>
      <c r="N129" s="48"/>
      <c r="O129" s="48"/>
      <c r="P129" s="49">
        <v>-3480</v>
      </c>
      <c r="Q129" s="119"/>
      <c r="R129" s="149"/>
      <c r="S129" s="129" t="s">
        <v>198</v>
      </c>
      <c r="T129" s="66" t="s">
        <v>421</v>
      </c>
      <c r="U129" s="128">
        <f t="shared" si="19"/>
        <v>0</v>
      </c>
      <c r="W129" s="25"/>
      <c r="X129" s="48"/>
      <c r="Y129" s="25"/>
      <c r="Z129" s="25"/>
      <c r="AA129" s="25"/>
      <c r="AB129" s="25"/>
      <c r="AC129" s="210">
        <f t="shared" si="20"/>
        <v>0</v>
      </c>
      <c r="AD129" s="207" t="str">
        <f t="shared" si="21"/>
        <v>OK</v>
      </c>
    </row>
    <row r="130" spans="1:30" ht="31.5" customHeight="1">
      <c r="A130" s="66">
        <v>117</v>
      </c>
      <c r="B130" s="99"/>
      <c r="C130" s="219" t="s">
        <v>424</v>
      </c>
      <c r="D130" s="51" t="s">
        <v>134</v>
      </c>
      <c r="E130" s="38" t="s">
        <v>135</v>
      </c>
      <c r="F130" s="131">
        <v>8290</v>
      </c>
      <c r="G130" s="131"/>
      <c r="H130" s="131"/>
      <c r="I130" s="131"/>
      <c r="J130" s="131"/>
      <c r="K130" s="118">
        <f t="shared" si="22"/>
        <v>8290</v>
      </c>
      <c r="L130" s="26">
        <v>-8290</v>
      </c>
      <c r="M130" s="47"/>
      <c r="N130" s="48"/>
      <c r="O130" s="48"/>
      <c r="P130" s="49">
        <v>-8290</v>
      </c>
      <c r="Q130" s="119"/>
      <c r="R130" s="149"/>
      <c r="S130" s="129" t="s">
        <v>72</v>
      </c>
      <c r="T130" s="66" t="s">
        <v>421</v>
      </c>
      <c r="U130" s="128">
        <f t="shared" si="19"/>
        <v>0</v>
      </c>
      <c r="W130" s="25"/>
      <c r="AC130" s="210">
        <f t="shared" si="20"/>
        <v>0</v>
      </c>
      <c r="AD130" s="207" t="str">
        <f t="shared" si="21"/>
        <v>OK</v>
      </c>
    </row>
    <row r="131" spans="1:30" ht="31.5" customHeight="1">
      <c r="A131" s="66">
        <v>118</v>
      </c>
      <c r="B131" s="99"/>
      <c r="C131" s="217"/>
      <c r="D131" s="56"/>
      <c r="E131" s="38" t="s">
        <v>623</v>
      </c>
      <c r="F131" s="131">
        <v>18000</v>
      </c>
      <c r="G131" s="131"/>
      <c r="H131" s="131"/>
      <c r="I131" s="131"/>
      <c r="J131" s="131"/>
      <c r="K131" s="118">
        <f t="shared" si="22"/>
        <v>18000</v>
      </c>
      <c r="L131" s="26">
        <v>-18000</v>
      </c>
      <c r="M131" s="47"/>
      <c r="N131" s="48"/>
      <c r="O131" s="48"/>
      <c r="P131" s="49">
        <v>-18000</v>
      </c>
      <c r="Q131" s="119"/>
      <c r="R131" s="149"/>
      <c r="S131" s="129" t="s">
        <v>58</v>
      </c>
      <c r="T131" s="66" t="s">
        <v>421</v>
      </c>
      <c r="U131" s="128">
        <f t="shared" si="19"/>
        <v>0</v>
      </c>
      <c r="W131" s="25"/>
      <c r="AC131" s="210">
        <f t="shared" si="20"/>
        <v>0</v>
      </c>
      <c r="AD131" s="207" t="str">
        <f t="shared" si="21"/>
        <v>OK</v>
      </c>
    </row>
    <row r="132" spans="1:30" ht="42.75" customHeight="1">
      <c r="A132" s="66">
        <v>119</v>
      </c>
      <c r="B132" s="89"/>
      <c r="C132" s="217"/>
      <c r="D132" s="56"/>
      <c r="E132" s="38" t="s">
        <v>581</v>
      </c>
      <c r="F132" s="131">
        <v>7762</v>
      </c>
      <c r="G132" s="131"/>
      <c r="H132" s="131"/>
      <c r="I132" s="131"/>
      <c r="J132" s="131"/>
      <c r="K132" s="118">
        <f>F132-G132-H132-I132-J132</f>
        <v>7762</v>
      </c>
      <c r="L132" s="26">
        <v>-7762</v>
      </c>
      <c r="M132" s="47"/>
      <c r="N132" s="48"/>
      <c r="O132" s="48"/>
      <c r="P132" s="49">
        <v>-7762</v>
      </c>
      <c r="Q132" s="119"/>
      <c r="R132" s="149"/>
      <c r="S132" s="129" t="s">
        <v>747</v>
      </c>
      <c r="T132" s="66" t="s">
        <v>421</v>
      </c>
      <c r="U132" s="128">
        <f t="shared" si="19"/>
        <v>0</v>
      </c>
      <c r="W132" s="25"/>
      <c r="AC132" s="210">
        <f>SUM(W132:AB132)</f>
        <v>0</v>
      </c>
      <c r="AD132" s="207" t="str">
        <f t="shared" si="21"/>
        <v>OK</v>
      </c>
    </row>
    <row r="133" spans="1:30" ht="41.25" customHeight="1">
      <c r="A133" s="66">
        <v>120</v>
      </c>
      <c r="B133" s="99"/>
      <c r="C133" s="217"/>
      <c r="D133" s="56"/>
      <c r="E133" s="38" t="s">
        <v>5</v>
      </c>
      <c r="F133" s="131">
        <v>22400</v>
      </c>
      <c r="G133" s="131"/>
      <c r="H133" s="131"/>
      <c r="I133" s="131"/>
      <c r="J133" s="131"/>
      <c r="K133" s="118">
        <f t="shared" si="22"/>
        <v>22400</v>
      </c>
      <c r="L133" s="26">
        <v>-22400</v>
      </c>
      <c r="M133" s="47"/>
      <c r="N133" s="48"/>
      <c r="O133" s="48"/>
      <c r="P133" s="49">
        <v>-22400</v>
      </c>
      <c r="Q133" s="119"/>
      <c r="R133" s="149"/>
      <c r="S133" s="129" t="s">
        <v>72</v>
      </c>
      <c r="T133" s="66" t="s">
        <v>421</v>
      </c>
      <c r="U133" s="128">
        <f t="shared" si="19"/>
        <v>0</v>
      </c>
      <c r="AC133" s="210">
        <f t="shared" si="20"/>
        <v>0</v>
      </c>
      <c r="AD133" s="207" t="str">
        <f t="shared" si="21"/>
        <v>OK</v>
      </c>
    </row>
    <row r="134" spans="1:30" ht="41.25" customHeight="1">
      <c r="A134" s="66">
        <v>121</v>
      </c>
      <c r="B134" s="99"/>
      <c r="C134" s="217"/>
      <c r="D134" s="56"/>
      <c r="E134" s="38" t="s">
        <v>6</v>
      </c>
      <c r="F134" s="131">
        <v>6454</v>
      </c>
      <c r="G134" s="131"/>
      <c r="H134" s="131"/>
      <c r="I134" s="131"/>
      <c r="J134" s="131"/>
      <c r="K134" s="118">
        <f t="shared" si="22"/>
        <v>6454</v>
      </c>
      <c r="L134" s="26">
        <v>-6454</v>
      </c>
      <c r="M134" s="47"/>
      <c r="N134" s="48"/>
      <c r="O134" s="48"/>
      <c r="P134" s="49">
        <v>-6454</v>
      </c>
      <c r="Q134" s="119"/>
      <c r="R134" s="149"/>
      <c r="S134" s="129" t="s">
        <v>72</v>
      </c>
      <c r="T134" s="66" t="s">
        <v>421</v>
      </c>
      <c r="U134" s="128">
        <f>L134-M134-N134-O134-P134</f>
        <v>0</v>
      </c>
      <c r="AC134" s="210">
        <f>SUM(W134:AB134)</f>
        <v>0</v>
      </c>
      <c r="AD134" s="207" t="str">
        <f>IF(N134=AC134,"OK","OUT")</f>
        <v>OK</v>
      </c>
    </row>
    <row r="135" spans="1:30" ht="43.5" customHeight="1" thickBot="1">
      <c r="A135" s="66">
        <v>122</v>
      </c>
      <c r="B135" s="99"/>
      <c r="C135" s="221" t="s">
        <v>384</v>
      </c>
      <c r="D135" s="38" t="s">
        <v>385</v>
      </c>
      <c r="E135" s="38"/>
      <c r="F135" s="131">
        <v>4902</v>
      </c>
      <c r="G135" s="131"/>
      <c r="H135" s="131"/>
      <c r="I135" s="131"/>
      <c r="J135" s="131"/>
      <c r="K135" s="118">
        <f t="shared" si="22"/>
        <v>4902</v>
      </c>
      <c r="L135" s="26">
        <v>-2500</v>
      </c>
      <c r="M135" s="47"/>
      <c r="N135" s="48"/>
      <c r="O135" s="48"/>
      <c r="P135" s="49">
        <v>-2500</v>
      </c>
      <c r="Q135" s="120"/>
      <c r="R135" s="67"/>
      <c r="S135" s="145" t="s">
        <v>95</v>
      </c>
      <c r="T135" s="66" t="s">
        <v>421</v>
      </c>
      <c r="U135" s="128">
        <f>L135-M135-N135-O135-P135</f>
        <v>0</v>
      </c>
      <c r="W135" s="25"/>
      <c r="AC135" s="210">
        <f>SUM(W135:AB135)</f>
        <v>0</v>
      </c>
      <c r="AD135" s="207" t="str">
        <f>IF(N135=AC135,"OK","OUT")</f>
        <v>OK</v>
      </c>
    </row>
    <row r="136" spans="2:30" ht="31.5" customHeight="1" thickBot="1">
      <c r="B136" s="95"/>
      <c r="C136" s="69"/>
      <c r="D136" s="57"/>
      <c r="E136" s="57" t="s">
        <v>403</v>
      </c>
      <c r="F136" s="103">
        <f>SUM(F118:F135)</f>
        <v>100606513</v>
      </c>
      <c r="G136" s="103"/>
      <c r="H136" s="103"/>
      <c r="I136" s="103"/>
      <c r="J136" s="103"/>
      <c r="K136" s="121"/>
      <c r="L136" s="59">
        <f>SUM(L118:L135)</f>
        <v>-986528</v>
      </c>
      <c r="M136" s="60">
        <f>SUM(M118:M135)</f>
        <v>-221987</v>
      </c>
      <c r="N136" s="61">
        <f>SUM(N118:N135)</f>
        <v>-352</v>
      </c>
      <c r="O136" s="61">
        <f>SUM(O118:O135)</f>
        <v>-43100</v>
      </c>
      <c r="P136" s="64">
        <f>SUM(P118:P135)</f>
        <v>-721089</v>
      </c>
      <c r="Q136" s="68"/>
      <c r="R136" s="64"/>
      <c r="S136" s="144"/>
      <c r="U136" s="128">
        <f>L136-M136-N136-O136-P136</f>
        <v>0</v>
      </c>
      <c r="W136" s="59">
        <f aca="true" t="shared" si="25" ref="W136:AB136">SUM(W118:W135)</f>
        <v>0</v>
      </c>
      <c r="X136" s="59">
        <f t="shared" si="25"/>
        <v>-352</v>
      </c>
      <c r="Y136" s="59">
        <f t="shared" si="25"/>
        <v>0</v>
      </c>
      <c r="Z136" s="59">
        <f t="shared" si="25"/>
        <v>0</v>
      </c>
      <c r="AA136" s="59">
        <f t="shared" si="25"/>
        <v>0</v>
      </c>
      <c r="AB136" s="59">
        <f t="shared" si="25"/>
        <v>0</v>
      </c>
      <c r="AC136" s="210">
        <f>SUM(W136:AB136)</f>
        <v>-352</v>
      </c>
      <c r="AD136" s="207" t="str">
        <f>IF(N136=AC136,"OK","OUT")</f>
        <v>OK</v>
      </c>
    </row>
    <row r="137" spans="1:30" ht="39.75" customHeight="1" thickBot="1">
      <c r="A137" s="66">
        <v>123</v>
      </c>
      <c r="B137" s="108" t="s">
        <v>673</v>
      </c>
      <c r="C137" s="69" t="s">
        <v>673</v>
      </c>
      <c r="D137" s="57" t="s">
        <v>673</v>
      </c>
      <c r="E137" s="63"/>
      <c r="F137" s="135">
        <v>1000000</v>
      </c>
      <c r="G137" s="135"/>
      <c r="H137" s="135"/>
      <c r="I137" s="135"/>
      <c r="J137" s="135"/>
      <c r="K137" s="135"/>
      <c r="L137" s="59">
        <v>-500000</v>
      </c>
      <c r="M137" s="54"/>
      <c r="N137" s="61"/>
      <c r="O137" s="61"/>
      <c r="P137" s="64">
        <v>-500000</v>
      </c>
      <c r="Q137" s="54"/>
      <c r="R137" s="64"/>
      <c r="S137" s="87" t="s">
        <v>291</v>
      </c>
      <c r="T137" s="66" t="s">
        <v>421</v>
      </c>
      <c r="U137" s="128">
        <f>L137-M137-N137-O137-P137</f>
        <v>0</v>
      </c>
      <c r="AC137" s="210">
        <f>SUM(W137:AB137)</f>
        <v>0</v>
      </c>
      <c r="AD137" s="207" t="str">
        <f>IF(N137=AC137,"OK","OUT")</f>
        <v>OK</v>
      </c>
    </row>
    <row r="138" spans="2:31" ht="31.5" customHeight="1" thickBot="1">
      <c r="B138" s="109"/>
      <c r="C138" s="65"/>
      <c r="D138" s="65"/>
      <c r="E138" s="138" t="s">
        <v>156</v>
      </c>
      <c r="F138" s="212">
        <f>F6+F31+F35+F38+F46+F55+F65+F115+F117+F136+F137</f>
        <v>250440628</v>
      </c>
      <c r="G138" s="111"/>
      <c r="H138" s="111"/>
      <c r="I138" s="111"/>
      <c r="J138" s="111"/>
      <c r="K138" s="369"/>
      <c r="L138" s="31">
        <f>L6+L31+L35+L38+L46+L55+L65+L115+L117+L136+L137</f>
        <v>-82874127</v>
      </c>
      <c r="M138" s="110">
        <f>M6+M31+M35+M38+M46+M55+M65+M115+M117+M136+M137</f>
        <v>-16459883</v>
      </c>
      <c r="N138" s="111">
        <f>N6+N31+N35+N38+N46+N55+N65+N115+N117+N136+N137</f>
        <v>-6607547</v>
      </c>
      <c r="O138" s="111">
        <f>O6+O31+O35+O38+O46+O55+O65+O115+O117+O136+O137</f>
        <v>-47876000</v>
      </c>
      <c r="P138" s="111">
        <f>P6+P31+P35+P38+P46+P55+P65+P115+P117+P136+P137</f>
        <v>-11930697</v>
      </c>
      <c r="Q138" s="114"/>
      <c r="R138" s="112"/>
      <c r="S138" s="87"/>
      <c r="U138" s="128">
        <f>L138-M138-N138-O138-P138</f>
        <v>0</v>
      </c>
      <c r="W138" s="111">
        <f aca="true" t="shared" si="26" ref="W138:AC138">W6+W31+W35+W38+W46+W55+W65+W115+W117+W136+W137</f>
        <v>-4020569</v>
      </c>
      <c r="X138" s="111">
        <f t="shared" si="26"/>
        <v>-11239</v>
      </c>
      <c r="Y138" s="111">
        <f t="shared" si="26"/>
        <v>0</v>
      </c>
      <c r="Z138" s="111">
        <f t="shared" si="26"/>
        <v>-4399</v>
      </c>
      <c r="AA138" s="111">
        <f t="shared" si="26"/>
        <v>-1113247</v>
      </c>
      <c r="AB138" s="111">
        <f t="shared" si="26"/>
        <v>-1458093</v>
      </c>
      <c r="AC138" s="111">
        <f t="shared" si="26"/>
        <v>-6607547</v>
      </c>
      <c r="AD138" s="207" t="str">
        <f>IF(N138=AC138,"OK","OUT")</f>
        <v>OK</v>
      </c>
      <c r="AE138" s="66">
        <f>SUM(AE8:AE137)</f>
        <v>-968117</v>
      </c>
    </row>
    <row r="139" ht="13.5">
      <c r="AD139" s="207"/>
    </row>
    <row r="140" spans="14:30" ht="13.5">
      <c r="N140" s="25"/>
      <c r="O140" s="25"/>
      <c r="P140" s="25"/>
      <c r="Q140" s="25"/>
      <c r="R140" s="25"/>
      <c r="S140" s="146"/>
      <c r="AD140" s="207"/>
    </row>
    <row r="141" spans="12:21" ht="14.25" hidden="1" thickBot="1">
      <c r="L141" s="76" t="e">
        <f>#REF!+#REF!+#REF!+#REF!+#REF!+#REF!+#REF!+#REF!+#REF!+#REF!+#REF!+'09増額'!L27+'09増額'!L30+#REF!+#REF!+#REF!+#REF!+'09増額'!L52</f>
        <v>#REF!</v>
      </c>
      <c r="M141" s="76" t="e">
        <f>#REF!+#REF!+#REF!+#REF!+#REF!+#REF!+#REF!+#REF!+#REF!+#REF!+#REF!+'09増額'!M27+'09増額'!M30+#REF!+#REF!+#REF!+#REF!+'09増額'!M52</f>
        <v>#REF!</v>
      </c>
      <c r="N141" s="115"/>
      <c r="O141" s="115"/>
      <c r="P141" s="115"/>
      <c r="Q141" s="115"/>
      <c r="R141" s="115"/>
      <c r="S141" s="146"/>
      <c r="T141" s="114" t="e">
        <f>#REF!+'09増額'!S30+#REF!+T50+#REF!+T69+T117+#REF!+T139+T140</f>
        <v>#REF!</v>
      </c>
      <c r="U141" s="76" t="e">
        <f>L141-M141-N141-O141-P141</f>
        <v>#REF!</v>
      </c>
    </row>
    <row r="142" spans="12:21" ht="14.25" thickBot="1">
      <c r="L142" s="76"/>
      <c r="M142" s="76"/>
      <c r="N142" s="115"/>
      <c r="O142" s="115"/>
      <c r="P142" s="25"/>
      <c r="Q142" s="115"/>
      <c r="R142" s="115"/>
      <c r="S142" s="146"/>
      <c r="T142" s="113"/>
      <c r="U142" s="76"/>
    </row>
    <row r="143" spans="2:21" ht="37.5" customHeight="1" thickBot="1">
      <c r="B143" s="882" t="s">
        <v>375</v>
      </c>
      <c r="C143" s="883"/>
      <c r="D143" s="883"/>
      <c r="E143" s="884"/>
      <c r="F143" s="212"/>
      <c r="G143" s="111"/>
      <c r="H143" s="111"/>
      <c r="I143" s="111"/>
      <c r="J143" s="111"/>
      <c r="K143" s="369"/>
      <c r="L143" s="31">
        <f>'09増額'!L60+'09減額'!L138</f>
        <v>-69853243</v>
      </c>
      <c r="M143" s="368">
        <f>'09増額'!M60+'09減額'!M138</f>
        <v>-16459883</v>
      </c>
      <c r="N143" s="111">
        <f>'09増額'!N60+'09減額'!N138</f>
        <v>-5517360</v>
      </c>
      <c r="O143" s="111">
        <f>'09増額'!O60+'09減額'!O138</f>
        <v>-47876000</v>
      </c>
      <c r="P143" s="111">
        <f>'09増額'!P60+'09減額'!P138</f>
        <v>0</v>
      </c>
      <c r="Q143" s="369"/>
      <c r="R143" s="112"/>
      <c r="S143" s="144"/>
      <c r="U143" s="76"/>
    </row>
    <row r="144" spans="12:21" ht="13.5" hidden="1">
      <c r="L144" s="76" t="e">
        <f>L138-L141</f>
        <v>#REF!</v>
      </c>
      <c r="M144" s="76" t="e">
        <f>M138-M141</f>
        <v>#REF!</v>
      </c>
      <c r="N144" s="115"/>
      <c r="O144" s="115"/>
      <c r="P144" s="115"/>
      <c r="Q144" s="115"/>
      <c r="R144" s="115"/>
      <c r="S144" s="146"/>
      <c r="U144" s="76" t="e">
        <f>L144-M144-N144-O144-P144</f>
        <v>#REF!</v>
      </c>
    </row>
    <row r="145" spans="14:19" ht="13.5">
      <c r="N145" s="25"/>
      <c r="O145" s="25"/>
      <c r="P145" s="25"/>
      <c r="Q145" s="25"/>
      <c r="R145" s="25"/>
      <c r="S145" s="146"/>
    </row>
    <row r="146" spans="14:19" ht="13.5">
      <c r="N146" s="25"/>
      <c r="O146" s="25"/>
      <c r="P146" s="116"/>
      <c r="Q146" s="25"/>
      <c r="R146" s="25"/>
      <c r="S146" s="146"/>
    </row>
    <row r="147" spans="14:19" ht="13.5">
      <c r="N147" s="25"/>
      <c r="O147" s="25"/>
      <c r="P147" s="62"/>
      <c r="Q147" s="25"/>
      <c r="R147" s="25"/>
      <c r="S147" s="146"/>
    </row>
    <row r="148" spans="14:19" ht="13.5">
      <c r="N148" s="25"/>
      <c r="O148" s="25"/>
      <c r="P148" s="117"/>
      <c r="Q148" s="25"/>
      <c r="R148" s="25"/>
      <c r="S148" s="146"/>
    </row>
    <row r="149" spans="14:19" ht="13.5">
      <c r="N149" s="854"/>
      <c r="O149" s="854"/>
      <c r="P149" s="117"/>
      <c r="Q149" s="25"/>
      <c r="R149" s="25"/>
      <c r="S149" s="146"/>
    </row>
  </sheetData>
  <mergeCells count="6">
    <mergeCell ref="B39:B40"/>
    <mergeCell ref="N149:O149"/>
    <mergeCell ref="B143:E143"/>
    <mergeCell ref="G3:J3"/>
    <mergeCell ref="M3:P3"/>
    <mergeCell ref="B7:B8"/>
  </mergeCells>
  <printOptions/>
  <pageMargins left="0.46" right="0.19" top="0.31" bottom="0.3" header="0.25" footer="0.26"/>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I146"/>
  <sheetViews>
    <sheetView workbookViewId="0" topLeftCell="A2">
      <pane xSplit="5" ySplit="4" topLeftCell="F6" activePane="bottomRight" state="frozen"/>
      <selection pane="topLeft" activeCell="A2" sqref="A2"/>
      <selection pane="topRight" activeCell="E2" sqref="E2"/>
      <selection pane="bottomLeft" activeCell="A6" sqref="A6"/>
      <selection pane="bottomRight" activeCell="A2" sqref="A2"/>
    </sheetView>
  </sheetViews>
  <sheetFormatPr defaultColWidth="9.00390625" defaultRowHeight="13.5"/>
  <cols>
    <col min="1" max="1" width="4.00390625" style="66" customWidth="1"/>
    <col min="2" max="2" width="2.625" style="66" customWidth="1"/>
    <col min="3" max="3" width="4.875" style="66" customWidth="1"/>
    <col min="4" max="4" width="7.50390625" style="66" customWidth="1"/>
    <col min="5" max="6" width="11.00390625" style="66" customWidth="1"/>
    <col min="7" max="7" width="10.125" style="66" hidden="1" customWidth="1"/>
    <col min="8" max="8" width="7.75390625" style="66" hidden="1" customWidth="1"/>
    <col min="9" max="9" width="10.875" style="66" hidden="1" customWidth="1"/>
    <col min="10" max="10" width="7.50390625" style="66" hidden="1" customWidth="1"/>
    <col min="11" max="11" width="14.375" style="66" hidden="1" customWidth="1"/>
    <col min="12" max="12" width="15.625" style="66" hidden="1" customWidth="1"/>
    <col min="13" max="13" width="18.875" style="66" hidden="1" customWidth="1"/>
    <col min="14" max="14" width="12.875" style="66" customWidth="1"/>
    <col min="15" max="15" width="11.25390625" style="66" hidden="1" customWidth="1"/>
    <col min="16" max="16" width="11.375" style="66" hidden="1" customWidth="1"/>
    <col min="17" max="17" width="11.25390625" style="66" customWidth="1"/>
    <col min="18" max="18" width="11.00390625" style="66" customWidth="1"/>
    <col min="19" max="19" width="12.875" style="66" customWidth="1"/>
    <col min="20" max="20" width="11.00390625" style="66" customWidth="1"/>
    <col min="21" max="21" width="4.25390625" style="66" hidden="1" customWidth="1"/>
    <col min="22" max="22" width="6.125" style="66" customWidth="1"/>
    <col min="23" max="23" width="12.75390625" style="147" customWidth="1"/>
    <col min="24" max="24" width="2.75390625" style="66" customWidth="1"/>
    <col min="25" max="25" width="21.125" style="66" customWidth="1"/>
    <col min="26" max="26" width="3.25390625" style="66" customWidth="1"/>
    <col min="27" max="27" width="15.75390625" style="66" customWidth="1"/>
    <col min="28" max="28" width="16.125" style="66" customWidth="1"/>
    <col min="29" max="30" width="10.125" style="66" customWidth="1"/>
    <col min="31" max="31" width="15.25390625" style="66" customWidth="1"/>
    <col min="32" max="33" width="11.125" style="66" customWidth="1"/>
    <col min="34" max="34" width="18.125" style="66" customWidth="1"/>
    <col min="35" max="35" width="13.875" style="66" customWidth="1"/>
    <col min="36" max="16384" width="9.00390625" style="66" customWidth="1"/>
  </cols>
  <sheetData>
    <row r="1" spans="2:23" ht="24" hidden="1">
      <c r="B1" s="70" t="s">
        <v>678</v>
      </c>
      <c r="C1" s="71"/>
      <c r="D1" s="72"/>
      <c r="E1" s="29"/>
      <c r="F1" s="29"/>
      <c r="G1" s="29"/>
      <c r="H1" s="29"/>
      <c r="I1" s="29"/>
      <c r="J1" s="29"/>
      <c r="K1" s="29"/>
      <c r="L1" s="29"/>
      <c r="M1" s="29"/>
      <c r="N1" s="29"/>
      <c r="O1" s="29"/>
      <c r="P1" s="29"/>
      <c r="Q1" s="29"/>
      <c r="R1" s="29"/>
      <c r="S1" s="29"/>
      <c r="T1" s="29"/>
      <c r="U1" s="29"/>
      <c r="V1" s="29"/>
      <c r="W1" s="140"/>
    </row>
    <row r="2" spans="3:23" ht="17.25" customHeight="1">
      <c r="C2" s="73"/>
      <c r="D2" s="74" t="s">
        <v>158</v>
      </c>
      <c r="E2" s="75" t="s">
        <v>607</v>
      </c>
      <c r="F2" s="75"/>
      <c r="G2" s="75"/>
      <c r="H2" s="75"/>
      <c r="I2" s="75"/>
      <c r="J2" s="75"/>
      <c r="K2" s="75"/>
      <c r="L2" s="75"/>
      <c r="M2" s="75"/>
      <c r="N2" s="76"/>
      <c r="O2" s="76"/>
      <c r="P2" s="76"/>
      <c r="R2" s="76"/>
      <c r="S2" s="76"/>
      <c r="T2" s="77" t="s">
        <v>123</v>
      </c>
      <c r="U2" s="77"/>
      <c r="V2" s="77"/>
      <c r="W2" s="141"/>
    </row>
    <row r="3" spans="3:23" ht="17.25" customHeight="1" thickBot="1">
      <c r="C3" s="73"/>
      <c r="D3" s="73"/>
      <c r="N3" s="78" t="s">
        <v>122</v>
      </c>
      <c r="O3" s="78"/>
      <c r="P3" s="78"/>
      <c r="R3" s="79"/>
      <c r="S3" s="80"/>
      <c r="T3" s="80"/>
      <c r="U3" s="81"/>
      <c r="V3" s="81"/>
      <c r="W3" s="141"/>
    </row>
    <row r="4" spans="2:35" ht="21.75" customHeight="1">
      <c r="B4" s="82" t="s">
        <v>138</v>
      </c>
      <c r="C4" s="83" t="s">
        <v>157</v>
      </c>
      <c r="D4" s="84" t="s">
        <v>435</v>
      </c>
      <c r="E4" s="136" t="s">
        <v>120</v>
      </c>
      <c r="F4" s="223" t="s">
        <v>119</v>
      </c>
      <c r="G4" s="224"/>
      <c r="H4" s="879" t="s">
        <v>117</v>
      </c>
      <c r="I4" s="852"/>
      <c r="J4" s="852"/>
      <c r="K4" s="853"/>
      <c r="L4" s="223" t="s">
        <v>119</v>
      </c>
      <c r="M4" s="224"/>
      <c r="N4" s="225" t="s">
        <v>118</v>
      </c>
      <c r="O4" s="226" t="s">
        <v>119</v>
      </c>
      <c r="P4" s="225" t="s">
        <v>118</v>
      </c>
      <c r="Q4" s="879" t="s">
        <v>117</v>
      </c>
      <c r="R4" s="852"/>
      <c r="S4" s="852"/>
      <c r="T4" s="853"/>
      <c r="U4" s="85" t="s">
        <v>763</v>
      </c>
      <c r="V4" s="84"/>
      <c r="W4" s="86" t="s">
        <v>116</v>
      </c>
      <c r="Y4" s="28" t="s">
        <v>803</v>
      </c>
      <c r="AA4" s="127" t="s">
        <v>140</v>
      </c>
      <c r="AB4" s="127" t="s">
        <v>142</v>
      </c>
      <c r="AC4" s="127" t="s">
        <v>681</v>
      </c>
      <c r="AD4" s="127" t="s">
        <v>288</v>
      </c>
      <c r="AE4" s="127" t="s">
        <v>778</v>
      </c>
      <c r="AF4" s="127" t="s">
        <v>683</v>
      </c>
      <c r="AG4" s="127"/>
      <c r="AH4" s="127" t="s">
        <v>802</v>
      </c>
      <c r="AI4" s="127" t="s">
        <v>42</v>
      </c>
    </row>
    <row r="5" spans="2:33" ht="21.75" customHeight="1" thickBot="1">
      <c r="B5" s="122"/>
      <c r="C5" s="123"/>
      <c r="D5" s="124"/>
      <c r="E5" s="137"/>
      <c r="F5" s="227" t="s">
        <v>445</v>
      </c>
      <c r="G5" s="123"/>
      <c r="H5" s="200" t="s">
        <v>115</v>
      </c>
      <c r="I5" s="201" t="s">
        <v>114</v>
      </c>
      <c r="J5" s="201" t="s">
        <v>113</v>
      </c>
      <c r="K5" s="202" t="s">
        <v>112</v>
      </c>
      <c r="L5" s="227" t="s">
        <v>62</v>
      </c>
      <c r="M5" s="123" t="s">
        <v>446</v>
      </c>
      <c r="N5" s="228"/>
      <c r="O5" s="229" t="s">
        <v>59</v>
      </c>
      <c r="P5" s="228"/>
      <c r="Q5" s="200" t="s">
        <v>115</v>
      </c>
      <c r="R5" s="201" t="s">
        <v>114</v>
      </c>
      <c r="S5" s="201" t="s">
        <v>113</v>
      </c>
      <c r="T5" s="202" t="s">
        <v>112</v>
      </c>
      <c r="U5" s="125"/>
      <c r="V5" s="124"/>
      <c r="W5" s="87"/>
      <c r="AG5" s="25"/>
    </row>
    <row r="6" spans="1:34" s="127" customFormat="1" ht="73.5" customHeight="1" thickBot="1">
      <c r="A6" s="127">
        <v>1</v>
      </c>
      <c r="B6" s="151" t="s">
        <v>65</v>
      </c>
      <c r="C6" s="148" t="s">
        <v>65</v>
      </c>
      <c r="D6" s="37" t="s">
        <v>66</v>
      </c>
      <c r="E6" s="56" t="s">
        <v>67</v>
      </c>
      <c r="F6" s="159">
        <v>20000</v>
      </c>
      <c r="G6" s="159"/>
      <c r="H6" s="159"/>
      <c r="I6" s="159"/>
      <c r="J6" s="159"/>
      <c r="K6" s="159"/>
      <c r="L6" s="159">
        <v>25000</v>
      </c>
      <c r="M6" s="159"/>
      <c r="N6" s="174">
        <v>-10000</v>
      </c>
      <c r="O6" s="160"/>
      <c r="P6" s="161"/>
      <c r="Q6" s="162"/>
      <c r="R6" s="163"/>
      <c r="S6" s="163"/>
      <c r="T6" s="164">
        <v>-10000</v>
      </c>
      <c r="U6" s="165"/>
      <c r="V6" s="166"/>
      <c r="W6" s="126" t="s">
        <v>588</v>
      </c>
      <c r="X6" s="127" t="s">
        <v>421</v>
      </c>
      <c r="Y6" s="128">
        <f aca="true" t="shared" si="0" ref="Y6:Y37">N6-Q6-R6-S6-T6</f>
        <v>0</v>
      </c>
      <c r="AG6" s="210">
        <f aca="true" t="shared" si="1" ref="AG6:AG37">SUM(AA6:AF6)</f>
        <v>0</v>
      </c>
      <c r="AH6" s="207" t="str">
        <f aca="true" t="shared" si="2" ref="AH6:AH37">IF(R6=AG6,"OK","OUT")</f>
        <v>OK</v>
      </c>
    </row>
    <row r="7" spans="2:34" ht="31.5" customHeight="1" thickBot="1">
      <c r="B7" s="95"/>
      <c r="C7" s="69"/>
      <c r="D7" s="57"/>
      <c r="E7" s="57" t="s">
        <v>403</v>
      </c>
      <c r="F7" s="103">
        <f>SUM(F6:F6)</f>
        <v>20000</v>
      </c>
      <c r="G7" s="103">
        <f aca="true" t="shared" si="3" ref="G7:T7">SUM(G6:G6)</f>
        <v>0</v>
      </c>
      <c r="H7" s="103">
        <f t="shared" si="3"/>
        <v>0</v>
      </c>
      <c r="I7" s="103">
        <f t="shared" si="3"/>
        <v>0</v>
      </c>
      <c r="J7" s="103">
        <f t="shared" si="3"/>
        <v>0</v>
      </c>
      <c r="K7" s="103">
        <f t="shared" si="3"/>
        <v>0</v>
      </c>
      <c r="L7" s="103">
        <f t="shared" si="3"/>
        <v>25000</v>
      </c>
      <c r="M7" s="121">
        <f t="shared" si="3"/>
        <v>0</v>
      </c>
      <c r="N7" s="333">
        <f t="shared" si="3"/>
        <v>-10000</v>
      </c>
      <c r="O7" s="58">
        <f t="shared" si="3"/>
        <v>0</v>
      </c>
      <c r="P7" s="121">
        <f t="shared" si="3"/>
        <v>0</v>
      </c>
      <c r="Q7" s="338">
        <f t="shared" si="3"/>
        <v>0</v>
      </c>
      <c r="R7" s="105">
        <f t="shared" si="3"/>
        <v>0</v>
      </c>
      <c r="S7" s="105">
        <f t="shared" si="3"/>
        <v>0</v>
      </c>
      <c r="T7" s="106">
        <f t="shared" si="3"/>
        <v>-10000</v>
      </c>
      <c r="U7" s="121"/>
      <c r="V7" s="106"/>
      <c r="W7" s="144"/>
      <c r="Y7" s="128">
        <f t="shared" si="0"/>
        <v>0</v>
      </c>
      <c r="AA7" s="333">
        <f aca="true" t="shared" si="4" ref="AA7:AF7">SUM(AA6:AA6)</f>
        <v>0</v>
      </c>
      <c r="AB7" s="333">
        <f t="shared" si="4"/>
        <v>0</v>
      </c>
      <c r="AC7" s="333">
        <f t="shared" si="4"/>
        <v>0</v>
      </c>
      <c r="AD7" s="333">
        <f t="shared" si="4"/>
        <v>0</v>
      </c>
      <c r="AE7" s="333">
        <f t="shared" si="4"/>
        <v>0</v>
      </c>
      <c r="AF7" s="333">
        <f t="shared" si="4"/>
        <v>0</v>
      </c>
      <c r="AG7" s="210">
        <f t="shared" si="1"/>
        <v>0</v>
      </c>
      <c r="AH7" s="207" t="str">
        <f t="shared" si="2"/>
        <v>OK</v>
      </c>
    </row>
    <row r="8" spans="1:34" ht="45" customHeight="1" thickBot="1">
      <c r="A8" s="66">
        <v>2</v>
      </c>
      <c r="B8" s="88" t="s">
        <v>52</v>
      </c>
      <c r="C8" s="353" t="s">
        <v>717</v>
      </c>
      <c r="D8" s="180" t="s">
        <v>718</v>
      </c>
      <c r="E8" s="180"/>
      <c r="F8" s="182">
        <v>713282</v>
      </c>
      <c r="G8" s="182"/>
      <c r="H8" s="182"/>
      <c r="I8" s="182"/>
      <c r="J8" s="182"/>
      <c r="K8" s="182"/>
      <c r="L8" s="182">
        <v>813552</v>
      </c>
      <c r="M8" s="182">
        <f>F8*0.2</f>
        <v>142656.4</v>
      </c>
      <c r="N8" s="230">
        <v>-142656</v>
      </c>
      <c r="O8" s="182">
        <v>810993</v>
      </c>
      <c r="P8" s="139">
        <v>-162198</v>
      </c>
      <c r="Q8" s="193"/>
      <c r="R8" s="206"/>
      <c r="S8" s="206"/>
      <c r="T8" s="173">
        <v>-142656</v>
      </c>
      <c r="U8" s="68"/>
      <c r="V8" s="194"/>
      <c r="W8" s="143" t="s">
        <v>729</v>
      </c>
      <c r="X8" s="66" t="s">
        <v>421</v>
      </c>
      <c r="Y8" s="128">
        <f t="shared" si="0"/>
        <v>0</v>
      </c>
      <c r="AA8" s="342"/>
      <c r="AB8" s="342"/>
      <c r="AC8" s="342"/>
      <c r="AD8" s="342"/>
      <c r="AE8" s="342"/>
      <c r="AF8" s="342"/>
      <c r="AG8" s="210">
        <f t="shared" si="1"/>
        <v>0</v>
      </c>
      <c r="AH8" s="207" t="str">
        <f t="shared" si="2"/>
        <v>OK</v>
      </c>
    </row>
    <row r="9" spans="1:34" ht="45" customHeight="1">
      <c r="A9" s="66">
        <v>3</v>
      </c>
      <c r="B9" s="89"/>
      <c r="C9" s="158" t="s">
        <v>159</v>
      </c>
      <c r="D9" s="50" t="s">
        <v>160</v>
      </c>
      <c r="E9" s="50" t="s">
        <v>161</v>
      </c>
      <c r="F9" s="132">
        <v>3292459</v>
      </c>
      <c r="G9" s="132"/>
      <c r="H9" s="132"/>
      <c r="I9" s="132"/>
      <c r="J9" s="132"/>
      <c r="K9" s="132"/>
      <c r="L9" s="132">
        <v>4349684</v>
      </c>
      <c r="M9" s="176">
        <f>F9*0.5</f>
        <v>1646229.5</v>
      </c>
      <c r="N9" s="33">
        <v>-1646230</v>
      </c>
      <c r="O9" s="32"/>
      <c r="P9" s="33"/>
      <c r="Q9" s="34"/>
      <c r="R9" s="35"/>
      <c r="S9" s="35"/>
      <c r="T9" s="155">
        <v>-1646230</v>
      </c>
      <c r="U9" s="118"/>
      <c r="V9" s="155"/>
      <c r="W9" s="129" t="s">
        <v>162</v>
      </c>
      <c r="X9" s="66" t="s">
        <v>421</v>
      </c>
      <c r="Y9" s="128">
        <f t="shared" si="0"/>
        <v>0</v>
      </c>
      <c r="AG9" s="210">
        <f t="shared" si="1"/>
        <v>0</v>
      </c>
      <c r="AH9" s="207" t="str">
        <f t="shared" si="2"/>
        <v>OK</v>
      </c>
    </row>
    <row r="10" spans="1:34" ht="31.5" customHeight="1">
      <c r="A10" s="66">
        <v>4</v>
      </c>
      <c r="B10" s="89"/>
      <c r="C10" s="94" t="s">
        <v>100</v>
      </c>
      <c r="D10" s="51" t="s">
        <v>99</v>
      </c>
      <c r="E10" s="50" t="s">
        <v>163</v>
      </c>
      <c r="F10" s="132">
        <v>44246</v>
      </c>
      <c r="G10" s="132"/>
      <c r="H10" s="132"/>
      <c r="I10" s="132"/>
      <c r="J10" s="132"/>
      <c r="K10" s="132"/>
      <c r="L10" s="132">
        <v>47513</v>
      </c>
      <c r="M10" s="176"/>
      <c r="N10" s="33">
        <v>-44246</v>
      </c>
      <c r="O10" s="32">
        <v>50037</v>
      </c>
      <c r="P10" s="33">
        <v>-50037</v>
      </c>
      <c r="Q10" s="34"/>
      <c r="R10" s="35"/>
      <c r="S10" s="35"/>
      <c r="T10" s="27">
        <v>-44246</v>
      </c>
      <c r="U10" s="154" t="s">
        <v>731</v>
      </c>
      <c r="V10" s="155"/>
      <c r="W10" s="142" t="s">
        <v>731</v>
      </c>
      <c r="X10" s="66" t="s">
        <v>421</v>
      </c>
      <c r="Y10" s="128">
        <f t="shared" si="0"/>
        <v>0</v>
      </c>
      <c r="AF10" s="25"/>
      <c r="AG10" s="210">
        <f t="shared" si="1"/>
        <v>0</v>
      </c>
      <c r="AH10" s="207" t="str">
        <f t="shared" si="2"/>
        <v>OK</v>
      </c>
    </row>
    <row r="11" spans="1:35" ht="43.5" customHeight="1">
      <c r="A11" s="66">
        <v>5</v>
      </c>
      <c r="B11" s="89"/>
      <c r="C11" s="91"/>
      <c r="D11" s="56"/>
      <c r="E11" s="50" t="s">
        <v>111</v>
      </c>
      <c r="F11" s="132">
        <v>62361</v>
      </c>
      <c r="G11" s="132"/>
      <c r="H11" s="132"/>
      <c r="I11" s="132"/>
      <c r="J11" s="132"/>
      <c r="K11" s="132"/>
      <c r="L11" s="132">
        <v>62176</v>
      </c>
      <c r="M11" s="176"/>
      <c r="N11" s="33">
        <v>-62361</v>
      </c>
      <c r="O11" s="32">
        <v>62860</v>
      </c>
      <c r="P11" s="33">
        <v>-62860</v>
      </c>
      <c r="Q11" s="34"/>
      <c r="R11" s="35">
        <v>-8627</v>
      </c>
      <c r="S11" s="35"/>
      <c r="T11" s="27">
        <f>N11-R11</f>
        <v>-53734</v>
      </c>
      <c r="U11" s="154" t="s">
        <v>69</v>
      </c>
      <c r="V11" s="155"/>
      <c r="W11" s="142" t="s">
        <v>755</v>
      </c>
      <c r="X11" s="66" t="s">
        <v>421</v>
      </c>
      <c r="Y11" s="128">
        <f t="shared" si="0"/>
        <v>0</v>
      </c>
      <c r="AF11" s="62">
        <v>-8627</v>
      </c>
      <c r="AG11" s="210">
        <f t="shared" si="1"/>
        <v>-8627</v>
      </c>
      <c r="AH11" s="207" t="str">
        <f t="shared" si="2"/>
        <v>OK</v>
      </c>
      <c r="AI11" s="62">
        <v>-8627</v>
      </c>
    </row>
    <row r="12" spans="1:35" ht="31.5" customHeight="1">
      <c r="A12" s="66">
        <v>6</v>
      </c>
      <c r="B12" s="89"/>
      <c r="C12" s="91"/>
      <c r="D12" s="56"/>
      <c r="E12" s="50" t="s">
        <v>418</v>
      </c>
      <c r="F12" s="132">
        <v>143281</v>
      </c>
      <c r="G12" s="132"/>
      <c r="H12" s="132"/>
      <c r="I12" s="132"/>
      <c r="J12" s="132"/>
      <c r="K12" s="132"/>
      <c r="L12" s="132">
        <v>165831</v>
      </c>
      <c r="M12" s="176"/>
      <c r="N12" s="33">
        <v>-143281</v>
      </c>
      <c r="O12" s="32">
        <v>166900</v>
      </c>
      <c r="P12" s="33">
        <v>-166900</v>
      </c>
      <c r="Q12" s="34"/>
      <c r="R12" s="35"/>
      <c r="S12" s="35"/>
      <c r="T12" s="27">
        <v>-143281</v>
      </c>
      <c r="U12" s="154" t="s">
        <v>692</v>
      </c>
      <c r="V12" s="155"/>
      <c r="W12" s="142" t="s">
        <v>692</v>
      </c>
      <c r="X12" s="66" t="s">
        <v>421</v>
      </c>
      <c r="Y12" s="128">
        <f t="shared" si="0"/>
        <v>0</v>
      </c>
      <c r="AF12" s="35"/>
      <c r="AG12" s="210">
        <f t="shared" si="1"/>
        <v>0</v>
      </c>
      <c r="AH12" s="207" t="str">
        <f t="shared" si="2"/>
        <v>OK</v>
      </c>
      <c r="AI12" s="239"/>
    </row>
    <row r="13" spans="1:35" ht="31.5" customHeight="1">
      <c r="A13" s="66">
        <v>7</v>
      </c>
      <c r="B13" s="89"/>
      <c r="C13" s="91"/>
      <c r="D13" s="56"/>
      <c r="E13" s="50" t="s">
        <v>754</v>
      </c>
      <c r="F13" s="132">
        <v>70407</v>
      </c>
      <c r="G13" s="132"/>
      <c r="H13" s="132"/>
      <c r="I13" s="132"/>
      <c r="J13" s="132"/>
      <c r="K13" s="132"/>
      <c r="L13" s="132">
        <v>74031</v>
      </c>
      <c r="M13" s="176"/>
      <c r="N13" s="33">
        <v>-70407</v>
      </c>
      <c r="O13" s="32">
        <v>76221</v>
      </c>
      <c r="P13" s="33">
        <v>-76221</v>
      </c>
      <c r="Q13" s="34"/>
      <c r="R13" s="35"/>
      <c r="S13" s="35"/>
      <c r="T13" s="27">
        <v>-70407</v>
      </c>
      <c r="U13" s="154" t="s">
        <v>692</v>
      </c>
      <c r="V13" s="155"/>
      <c r="W13" s="142" t="s">
        <v>692</v>
      </c>
      <c r="X13" s="66" t="s">
        <v>421</v>
      </c>
      <c r="Y13" s="128">
        <f t="shared" si="0"/>
        <v>0</v>
      </c>
      <c r="AF13" s="25"/>
      <c r="AG13" s="210">
        <f t="shared" si="1"/>
        <v>0</v>
      </c>
      <c r="AH13" s="207" t="str">
        <f t="shared" si="2"/>
        <v>OK</v>
      </c>
      <c r="AI13" s="25"/>
    </row>
    <row r="14" spans="1:34" ht="31.5" customHeight="1">
      <c r="A14" s="66">
        <v>8</v>
      </c>
      <c r="B14" s="89"/>
      <c r="C14" s="92"/>
      <c r="D14" s="50"/>
      <c r="E14" s="50" t="s">
        <v>730</v>
      </c>
      <c r="F14" s="132">
        <v>331793</v>
      </c>
      <c r="G14" s="132"/>
      <c r="H14" s="132"/>
      <c r="I14" s="132"/>
      <c r="J14" s="132"/>
      <c r="K14" s="132"/>
      <c r="L14" s="132">
        <v>308897</v>
      </c>
      <c r="M14" s="176"/>
      <c r="N14" s="33">
        <v>-331793</v>
      </c>
      <c r="O14" s="32">
        <v>300676</v>
      </c>
      <c r="P14" s="33">
        <v>-300676</v>
      </c>
      <c r="Q14" s="34"/>
      <c r="R14" s="35"/>
      <c r="S14" s="35"/>
      <c r="T14" s="27">
        <v>-331793</v>
      </c>
      <c r="U14" s="154" t="s">
        <v>692</v>
      </c>
      <c r="V14" s="155"/>
      <c r="W14" s="142" t="s">
        <v>692</v>
      </c>
      <c r="X14" s="66" t="s">
        <v>421</v>
      </c>
      <c r="Y14" s="128">
        <f t="shared" si="0"/>
        <v>0</v>
      </c>
      <c r="AF14" s="25"/>
      <c r="AG14" s="210">
        <f t="shared" si="1"/>
        <v>0</v>
      </c>
      <c r="AH14" s="207" t="str">
        <f t="shared" si="2"/>
        <v>OK</v>
      </c>
    </row>
    <row r="15" spans="1:35" ht="32.25" customHeight="1">
      <c r="A15" s="66">
        <v>9</v>
      </c>
      <c r="B15" s="89"/>
      <c r="C15" s="90" t="s">
        <v>110</v>
      </c>
      <c r="D15" s="38" t="s">
        <v>109</v>
      </c>
      <c r="E15" s="50" t="s">
        <v>616</v>
      </c>
      <c r="F15" s="132">
        <v>655000</v>
      </c>
      <c r="G15" s="132"/>
      <c r="H15" s="132"/>
      <c r="I15" s="132"/>
      <c r="J15" s="132"/>
      <c r="K15" s="132"/>
      <c r="L15" s="132">
        <v>909000</v>
      </c>
      <c r="M15" s="176"/>
      <c r="N15" s="33">
        <v>-655000</v>
      </c>
      <c r="O15" s="32">
        <v>872000</v>
      </c>
      <c r="P15" s="33">
        <v>-872000</v>
      </c>
      <c r="Q15" s="34"/>
      <c r="R15" s="35">
        <v>-655000</v>
      </c>
      <c r="S15" s="35"/>
      <c r="T15" s="27"/>
      <c r="U15" s="154" t="s">
        <v>68</v>
      </c>
      <c r="V15" s="155"/>
      <c r="W15" s="142" t="s">
        <v>756</v>
      </c>
      <c r="X15" s="66" t="s">
        <v>421</v>
      </c>
      <c r="Y15" s="128">
        <f t="shared" si="0"/>
        <v>0</v>
      </c>
      <c r="AF15" s="62">
        <v>-655000</v>
      </c>
      <c r="AG15" s="210">
        <f t="shared" si="1"/>
        <v>-655000</v>
      </c>
      <c r="AH15" s="207" t="str">
        <f t="shared" si="2"/>
        <v>OK</v>
      </c>
      <c r="AI15" s="62">
        <v>-655000</v>
      </c>
    </row>
    <row r="16" spans="1:35" ht="31.5" customHeight="1">
      <c r="A16" s="66">
        <v>10</v>
      </c>
      <c r="B16" s="89"/>
      <c r="C16" s="90" t="s">
        <v>108</v>
      </c>
      <c r="D16" s="51" t="s">
        <v>107</v>
      </c>
      <c r="E16" s="50" t="s">
        <v>106</v>
      </c>
      <c r="F16" s="132">
        <v>53366</v>
      </c>
      <c r="G16" s="132"/>
      <c r="H16" s="132"/>
      <c r="I16" s="132"/>
      <c r="J16" s="132"/>
      <c r="K16" s="132"/>
      <c r="L16" s="132">
        <v>56528</v>
      </c>
      <c r="M16" s="176"/>
      <c r="N16" s="33">
        <v>-53366</v>
      </c>
      <c r="O16" s="32">
        <v>61412</v>
      </c>
      <c r="P16" s="33">
        <v>-61412</v>
      </c>
      <c r="Q16" s="34"/>
      <c r="R16" s="35">
        <v>-53366</v>
      </c>
      <c r="S16" s="35"/>
      <c r="T16" s="27"/>
      <c r="U16" s="118"/>
      <c r="V16" s="155"/>
      <c r="W16" s="142" t="s">
        <v>26</v>
      </c>
      <c r="X16" s="66" t="s">
        <v>421</v>
      </c>
      <c r="Y16" s="128">
        <f t="shared" si="0"/>
        <v>0</v>
      </c>
      <c r="AE16" s="62">
        <v>-53366</v>
      </c>
      <c r="AF16" s="239"/>
      <c r="AG16" s="210">
        <f t="shared" si="1"/>
        <v>-53366</v>
      </c>
      <c r="AH16" s="207" t="str">
        <f t="shared" si="2"/>
        <v>OK</v>
      </c>
      <c r="AI16" s="239"/>
    </row>
    <row r="17" spans="1:35" ht="31.5" customHeight="1">
      <c r="A17" s="66">
        <v>11</v>
      </c>
      <c r="B17" s="89"/>
      <c r="C17" s="92"/>
      <c r="D17" s="50"/>
      <c r="E17" s="50" t="s">
        <v>105</v>
      </c>
      <c r="F17" s="132">
        <v>183321</v>
      </c>
      <c r="G17" s="132"/>
      <c r="H17" s="132"/>
      <c r="I17" s="132"/>
      <c r="J17" s="132"/>
      <c r="K17" s="132"/>
      <c r="L17" s="132">
        <v>203946</v>
      </c>
      <c r="M17" s="176">
        <f>F17*0.5</f>
        <v>91660.5</v>
      </c>
      <c r="N17" s="33">
        <v>-100000</v>
      </c>
      <c r="O17" s="32">
        <v>227568</v>
      </c>
      <c r="P17" s="33">
        <v>-113748</v>
      </c>
      <c r="Q17" s="34"/>
      <c r="R17" s="35"/>
      <c r="S17" s="35"/>
      <c r="T17" s="27">
        <v>-100000</v>
      </c>
      <c r="U17" s="118"/>
      <c r="V17" s="155"/>
      <c r="W17" s="142" t="s">
        <v>407</v>
      </c>
      <c r="X17" s="66" t="s">
        <v>421</v>
      </c>
      <c r="Y17" s="128">
        <f t="shared" si="0"/>
        <v>0</v>
      </c>
      <c r="AE17" s="239"/>
      <c r="AG17" s="210">
        <f t="shared" si="1"/>
        <v>0</v>
      </c>
      <c r="AH17" s="207" t="str">
        <f t="shared" si="2"/>
        <v>OK</v>
      </c>
      <c r="AI17" s="25"/>
    </row>
    <row r="18" spans="1:34" ht="31.5" customHeight="1">
      <c r="A18" s="66">
        <v>12</v>
      </c>
      <c r="B18" s="89"/>
      <c r="C18" s="93" t="s">
        <v>104</v>
      </c>
      <c r="D18" s="38" t="s">
        <v>101</v>
      </c>
      <c r="E18" s="50"/>
      <c r="F18" s="132">
        <v>1223</v>
      </c>
      <c r="G18" s="132"/>
      <c r="H18" s="132"/>
      <c r="I18" s="132"/>
      <c r="J18" s="132"/>
      <c r="K18" s="132"/>
      <c r="L18" s="132">
        <v>927</v>
      </c>
      <c r="M18" s="176"/>
      <c r="N18" s="33">
        <v>-1223</v>
      </c>
      <c r="O18" s="32">
        <v>1168</v>
      </c>
      <c r="P18" s="33">
        <v>-1168</v>
      </c>
      <c r="Q18" s="34">
        <v>-1223</v>
      </c>
      <c r="R18" s="35"/>
      <c r="S18" s="35"/>
      <c r="T18" s="27"/>
      <c r="U18" s="118"/>
      <c r="V18" s="155"/>
      <c r="W18" s="142"/>
      <c r="X18" s="66" t="s">
        <v>421</v>
      </c>
      <c r="Y18" s="128">
        <f t="shared" si="0"/>
        <v>0</v>
      </c>
      <c r="AG18" s="210">
        <f t="shared" si="1"/>
        <v>0</v>
      </c>
      <c r="AH18" s="207" t="str">
        <f t="shared" si="2"/>
        <v>OK</v>
      </c>
    </row>
    <row r="19" spans="1:34" ht="31.5" customHeight="1">
      <c r="A19" s="66">
        <v>13</v>
      </c>
      <c r="B19" s="89"/>
      <c r="C19" s="90" t="s">
        <v>388</v>
      </c>
      <c r="D19" s="51" t="s">
        <v>389</v>
      </c>
      <c r="E19" s="50" t="s">
        <v>390</v>
      </c>
      <c r="F19" s="132">
        <v>201</v>
      </c>
      <c r="G19" s="132"/>
      <c r="H19" s="132"/>
      <c r="I19" s="132"/>
      <c r="J19" s="132"/>
      <c r="K19" s="132"/>
      <c r="L19" s="132">
        <v>201</v>
      </c>
      <c r="M19" s="176"/>
      <c r="N19" s="33">
        <v>-201</v>
      </c>
      <c r="O19" s="32">
        <v>710</v>
      </c>
      <c r="P19" s="33">
        <v>-710</v>
      </c>
      <c r="Q19" s="34"/>
      <c r="R19" s="35"/>
      <c r="S19" s="35"/>
      <c r="T19" s="27">
        <v>-201</v>
      </c>
      <c r="U19" s="118"/>
      <c r="V19" s="155"/>
      <c r="W19" s="142"/>
      <c r="X19" s="66" t="s">
        <v>421</v>
      </c>
      <c r="Y19" s="128">
        <f t="shared" si="0"/>
        <v>0</v>
      </c>
      <c r="AE19" s="25"/>
      <c r="AG19" s="210">
        <f t="shared" si="1"/>
        <v>0</v>
      </c>
      <c r="AH19" s="207" t="str">
        <f t="shared" si="2"/>
        <v>OK</v>
      </c>
    </row>
    <row r="20" spans="1:34" ht="31.5" customHeight="1">
      <c r="A20" s="66">
        <v>14</v>
      </c>
      <c r="B20" s="89"/>
      <c r="C20" s="92"/>
      <c r="D20" s="50"/>
      <c r="E20" s="38" t="s">
        <v>391</v>
      </c>
      <c r="F20" s="132">
        <v>2924</v>
      </c>
      <c r="G20" s="132"/>
      <c r="H20" s="132"/>
      <c r="I20" s="132"/>
      <c r="J20" s="132"/>
      <c r="K20" s="132"/>
      <c r="L20" s="132">
        <v>5175</v>
      </c>
      <c r="M20" s="176"/>
      <c r="N20" s="33">
        <v>-2924</v>
      </c>
      <c r="O20" s="32">
        <v>710</v>
      </c>
      <c r="P20" s="33">
        <v>-3909</v>
      </c>
      <c r="Q20" s="34"/>
      <c r="R20" s="35"/>
      <c r="S20" s="35"/>
      <c r="T20" s="27">
        <v>-2924</v>
      </c>
      <c r="U20" s="118"/>
      <c r="V20" s="155"/>
      <c r="W20" s="142"/>
      <c r="X20" s="66" t="s">
        <v>421</v>
      </c>
      <c r="Y20" s="128">
        <f t="shared" si="0"/>
        <v>0</v>
      </c>
      <c r="AG20" s="210">
        <f t="shared" si="1"/>
        <v>0</v>
      </c>
      <c r="AH20" s="207" t="str">
        <f t="shared" si="2"/>
        <v>OK</v>
      </c>
    </row>
    <row r="21" spans="1:34" ht="31.5" customHeight="1">
      <c r="A21" s="66">
        <v>15</v>
      </c>
      <c r="B21" s="89"/>
      <c r="C21" s="90" t="s">
        <v>70</v>
      </c>
      <c r="D21" s="51" t="s">
        <v>71</v>
      </c>
      <c r="E21" s="38" t="s">
        <v>447</v>
      </c>
      <c r="F21" s="132">
        <v>4489</v>
      </c>
      <c r="G21" s="132"/>
      <c r="H21" s="132"/>
      <c r="I21" s="132"/>
      <c r="J21" s="132"/>
      <c r="K21" s="132"/>
      <c r="L21" s="132">
        <v>3672</v>
      </c>
      <c r="M21" s="176"/>
      <c r="N21" s="33">
        <v>-4489</v>
      </c>
      <c r="O21" s="32"/>
      <c r="P21" s="33"/>
      <c r="Q21" s="34"/>
      <c r="R21" s="35"/>
      <c r="S21" s="35"/>
      <c r="T21" s="27">
        <v>-4489</v>
      </c>
      <c r="U21" s="154"/>
      <c r="V21" s="155"/>
      <c r="W21" s="50" t="s">
        <v>238</v>
      </c>
      <c r="X21" s="66" t="s">
        <v>421</v>
      </c>
      <c r="Y21" s="128">
        <f t="shared" si="0"/>
        <v>0</v>
      </c>
      <c r="AF21" s="76"/>
      <c r="AG21" s="210">
        <f t="shared" si="1"/>
        <v>0</v>
      </c>
      <c r="AH21" s="207" t="str">
        <f t="shared" si="2"/>
        <v>OK</v>
      </c>
    </row>
    <row r="22" spans="1:34" ht="31.5" customHeight="1">
      <c r="A22" s="66">
        <v>16</v>
      </c>
      <c r="B22" s="89"/>
      <c r="C22" s="91"/>
      <c r="D22" s="51" t="s">
        <v>732</v>
      </c>
      <c r="E22" s="38" t="s">
        <v>733</v>
      </c>
      <c r="F22" s="132">
        <v>620597</v>
      </c>
      <c r="G22" s="132"/>
      <c r="H22" s="132"/>
      <c r="I22" s="132"/>
      <c r="J22" s="132"/>
      <c r="K22" s="132"/>
      <c r="L22" s="132">
        <v>632775</v>
      </c>
      <c r="M22" s="176">
        <f>F22*0.3</f>
        <v>186179.1</v>
      </c>
      <c r="N22" s="33">
        <v>-186000</v>
      </c>
      <c r="O22" s="32">
        <v>935411</v>
      </c>
      <c r="P22" s="33">
        <v>-187082</v>
      </c>
      <c r="Q22" s="34"/>
      <c r="R22" s="35"/>
      <c r="S22" s="35"/>
      <c r="T22" s="27">
        <v>-186000</v>
      </c>
      <c r="U22" s="118"/>
      <c r="V22" s="155"/>
      <c r="W22" s="143" t="s">
        <v>94</v>
      </c>
      <c r="X22" s="66" t="s">
        <v>421</v>
      </c>
      <c r="Y22" s="128">
        <f t="shared" si="0"/>
        <v>0</v>
      </c>
      <c r="AG22" s="210">
        <f t="shared" si="1"/>
        <v>0</v>
      </c>
      <c r="AH22" s="207" t="str">
        <f t="shared" si="2"/>
        <v>OK</v>
      </c>
    </row>
    <row r="23" spans="1:34" ht="31.5" customHeight="1">
      <c r="A23" s="66">
        <v>17</v>
      </c>
      <c r="B23" s="89"/>
      <c r="C23" s="92"/>
      <c r="D23" s="51" t="s">
        <v>736</v>
      </c>
      <c r="E23" s="38" t="s">
        <v>737</v>
      </c>
      <c r="F23" s="132">
        <v>69118</v>
      </c>
      <c r="G23" s="132"/>
      <c r="H23" s="132"/>
      <c r="I23" s="132"/>
      <c r="J23" s="132"/>
      <c r="K23" s="132"/>
      <c r="L23" s="132">
        <v>99455</v>
      </c>
      <c r="M23" s="176">
        <f>F23*0.5</f>
        <v>34559</v>
      </c>
      <c r="N23" s="33">
        <v>-34000</v>
      </c>
      <c r="O23" s="32">
        <v>117124</v>
      </c>
      <c r="P23" s="33">
        <v>-58562</v>
      </c>
      <c r="Q23" s="34">
        <v>-15000</v>
      </c>
      <c r="R23" s="35"/>
      <c r="S23" s="35"/>
      <c r="T23" s="27">
        <v>-19000</v>
      </c>
      <c r="U23" s="118"/>
      <c r="V23" s="155"/>
      <c r="W23" s="129" t="s">
        <v>386</v>
      </c>
      <c r="X23" s="66" t="s">
        <v>421</v>
      </c>
      <c r="Y23" s="128">
        <f t="shared" si="0"/>
        <v>0</v>
      </c>
      <c r="AG23" s="210">
        <f t="shared" si="1"/>
        <v>0</v>
      </c>
      <c r="AH23" s="207" t="str">
        <f t="shared" si="2"/>
        <v>OK</v>
      </c>
    </row>
    <row r="24" spans="1:34" ht="36" customHeight="1">
      <c r="A24" s="66">
        <v>18</v>
      </c>
      <c r="B24" s="89"/>
      <c r="C24" s="90" t="s">
        <v>125</v>
      </c>
      <c r="D24" s="50" t="s">
        <v>126</v>
      </c>
      <c r="E24" s="50" t="s">
        <v>127</v>
      </c>
      <c r="F24" s="132">
        <v>222794</v>
      </c>
      <c r="G24" s="132"/>
      <c r="H24" s="132"/>
      <c r="I24" s="132"/>
      <c r="J24" s="132"/>
      <c r="K24" s="132"/>
      <c r="L24" s="132">
        <v>217374</v>
      </c>
      <c r="M24" s="176"/>
      <c r="N24" s="33">
        <v>-222794</v>
      </c>
      <c r="O24" s="32">
        <v>238173</v>
      </c>
      <c r="P24" s="33">
        <v>-238173</v>
      </c>
      <c r="Q24" s="34"/>
      <c r="R24" s="35"/>
      <c r="S24" s="35"/>
      <c r="T24" s="27">
        <v>-222794</v>
      </c>
      <c r="U24" s="154"/>
      <c r="V24" s="155"/>
      <c r="W24" s="350"/>
      <c r="X24" s="66" t="s">
        <v>421</v>
      </c>
      <c r="Y24" s="128">
        <f t="shared" si="0"/>
        <v>0</v>
      </c>
      <c r="AC24" s="62"/>
      <c r="AD24" s="62"/>
      <c r="AE24" s="62"/>
      <c r="AF24" s="76">
        <f>R24-Z24-AA24-AB24-AC24-AE24</f>
        <v>0</v>
      </c>
      <c r="AG24" s="210">
        <f t="shared" si="1"/>
        <v>0</v>
      </c>
      <c r="AH24" s="207" t="str">
        <f t="shared" si="2"/>
        <v>OK</v>
      </c>
    </row>
    <row r="25" spans="1:34" ht="55.5" customHeight="1">
      <c r="A25" s="66">
        <v>19</v>
      </c>
      <c r="B25" s="89"/>
      <c r="C25" s="90" t="s">
        <v>102</v>
      </c>
      <c r="D25" s="51" t="s">
        <v>103</v>
      </c>
      <c r="E25" s="50" t="s">
        <v>617</v>
      </c>
      <c r="F25" s="132">
        <v>2940779</v>
      </c>
      <c r="G25" s="132"/>
      <c r="H25" s="132"/>
      <c r="I25" s="132"/>
      <c r="J25" s="132"/>
      <c r="K25" s="132"/>
      <c r="L25" s="132">
        <v>3714484</v>
      </c>
      <c r="M25" s="176"/>
      <c r="N25" s="33">
        <v>-1646230</v>
      </c>
      <c r="O25" s="336"/>
      <c r="P25" s="33"/>
      <c r="Q25" s="34"/>
      <c r="R25" s="35">
        <v>-1646230</v>
      </c>
      <c r="S25" s="35"/>
      <c r="T25" s="27"/>
      <c r="U25" s="118"/>
      <c r="V25" s="155"/>
      <c r="W25" s="143"/>
      <c r="X25" s="66" t="s">
        <v>421</v>
      </c>
      <c r="Y25" s="128">
        <f t="shared" si="0"/>
        <v>0</v>
      </c>
      <c r="AC25" s="239"/>
      <c r="AD25" s="239"/>
      <c r="AE25" s="35">
        <v>-1646230</v>
      </c>
      <c r="AG25" s="210">
        <f t="shared" si="1"/>
        <v>-1646230</v>
      </c>
      <c r="AH25" s="207" t="str">
        <f t="shared" si="2"/>
        <v>OK</v>
      </c>
    </row>
    <row r="26" spans="1:34" ht="31.5" customHeight="1">
      <c r="A26" s="66">
        <v>20</v>
      </c>
      <c r="B26" s="89"/>
      <c r="C26" s="94" t="s">
        <v>128</v>
      </c>
      <c r="D26" s="51" t="s">
        <v>129</v>
      </c>
      <c r="E26" s="50" t="s">
        <v>734</v>
      </c>
      <c r="F26" s="132">
        <v>1226</v>
      </c>
      <c r="G26" s="132"/>
      <c r="H26" s="132"/>
      <c r="I26" s="132"/>
      <c r="J26" s="132"/>
      <c r="K26" s="132"/>
      <c r="L26" s="132">
        <v>13602</v>
      </c>
      <c r="M26" s="176"/>
      <c r="N26" s="33">
        <v>-1226</v>
      </c>
      <c r="O26" s="118">
        <v>6912</v>
      </c>
      <c r="P26" s="118">
        <v>-6912</v>
      </c>
      <c r="Q26" s="34"/>
      <c r="R26" s="35"/>
      <c r="S26" s="35"/>
      <c r="T26" s="27">
        <v>-1226</v>
      </c>
      <c r="U26" s="118"/>
      <c r="V26" s="155"/>
      <c r="W26" s="129"/>
      <c r="X26" s="66" t="s">
        <v>421</v>
      </c>
      <c r="Y26" s="128">
        <f t="shared" si="0"/>
        <v>0</v>
      </c>
      <c r="AC26" s="25"/>
      <c r="AD26" s="25"/>
      <c r="AE26" s="239"/>
      <c r="AG26" s="210">
        <f t="shared" si="1"/>
        <v>0</v>
      </c>
      <c r="AH26" s="207" t="str">
        <f t="shared" si="2"/>
        <v>OK</v>
      </c>
    </row>
    <row r="27" spans="1:34" ht="43.5" customHeight="1" thickBot="1">
      <c r="A27" s="66">
        <v>21</v>
      </c>
      <c r="B27" s="89"/>
      <c r="C27" s="354"/>
      <c r="D27" s="63"/>
      <c r="E27" s="50" t="s">
        <v>735</v>
      </c>
      <c r="F27" s="132">
        <v>36928</v>
      </c>
      <c r="G27" s="132"/>
      <c r="H27" s="132"/>
      <c r="I27" s="132"/>
      <c r="J27" s="132"/>
      <c r="K27" s="132"/>
      <c r="L27" s="132">
        <v>42319</v>
      </c>
      <c r="M27" s="176"/>
      <c r="N27" s="33">
        <v>-36928</v>
      </c>
      <c r="O27" s="118">
        <v>47630</v>
      </c>
      <c r="P27" s="118">
        <v>-47630</v>
      </c>
      <c r="Q27" s="34"/>
      <c r="R27" s="35">
        <v>-2000</v>
      </c>
      <c r="S27" s="35"/>
      <c r="T27" s="27">
        <f>N27-R27</f>
        <v>-34928</v>
      </c>
      <c r="U27" s="118"/>
      <c r="V27" s="155"/>
      <c r="W27" s="142"/>
      <c r="X27" s="66" t="s">
        <v>421</v>
      </c>
      <c r="Y27" s="128">
        <f t="shared" si="0"/>
        <v>0</v>
      </c>
      <c r="AE27" s="35">
        <v>-2000</v>
      </c>
      <c r="AG27" s="210">
        <f t="shared" si="1"/>
        <v>-2000</v>
      </c>
      <c r="AH27" s="207" t="str">
        <f t="shared" si="2"/>
        <v>OK</v>
      </c>
    </row>
    <row r="28" spans="2:34" ht="31.5" customHeight="1" thickBot="1">
      <c r="B28" s="95"/>
      <c r="C28" s="69"/>
      <c r="D28" s="57"/>
      <c r="E28" s="57" t="s">
        <v>403</v>
      </c>
      <c r="F28" s="103">
        <f>SUM(F8:F27)</f>
        <v>9449795</v>
      </c>
      <c r="G28" s="103">
        <f aca="true" t="shared" si="5" ref="G28:T28">SUM(G8:G27)</f>
        <v>0</v>
      </c>
      <c r="H28" s="103">
        <f t="shared" si="5"/>
        <v>0</v>
      </c>
      <c r="I28" s="103">
        <f t="shared" si="5"/>
        <v>0</v>
      </c>
      <c r="J28" s="103">
        <f t="shared" si="5"/>
        <v>0</v>
      </c>
      <c r="K28" s="103">
        <f t="shared" si="5"/>
        <v>0</v>
      </c>
      <c r="L28" s="103">
        <f t="shared" si="5"/>
        <v>11721142</v>
      </c>
      <c r="M28" s="121">
        <f t="shared" si="5"/>
        <v>2101284.5</v>
      </c>
      <c r="N28" s="333">
        <f t="shared" si="5"/>
        <v>-5385355</v>
      </c>
      <c r="O28" s="58">
        <f t="shared" si="5"/>
        <v>3976505</v>
      </c>
      <c r="P28" s="121">
        <f t="shared" si="5"/>
        <v>-2410198</v>
      </c>
      <c r="Q28" s="338">
        <f t="shared" si="5"/>
        <v>-16223</v>
      </c>
      <c r="R28" s="105">
        <f t="shared" si="5"/>
        <v>-2365223</v>
      </c>
      <c r="S28" s="105">
        <f t="shared" si="5"/>
        <v>0</v>
      </c>
      <c r="T28" s="106">
        <f t="shared" si="5"/>
        <v>-3003909</v>
      </c>
      <c r="U28" s="121"/>
      <c r="V28" s="106"/>
      <c r="W28" s="144"/>
      <c r="Y28" s="128">
        <f t="shared" si="0"/>
        <v>0</v>
      </c>
      <c r="AA28" s="333">
        <f aca="true" t="shared" si="6" ref="AA28:AF28">SUM(AA8:AA27)</f>
        <v>0</v>
      </c>
      <c r="AB28" s="333">
        <f t="shared" si="6"/>
        <v>0</v>
      </c>
      <c r="AC28" s="333">
        <f t="shared" si="6"/>
        <v>0</v>
      </c>
      <c r="AD28" s="333">
        <f t="shared" si="6"/>
        <v>0</v>
      </c>
      <c r="AE28" s="333">
        <f t="shared" si="6"/>
        <v>-1701596</v>
      </c>
      <c r="AF28" s="333">
        <f t="shared" si="6"/>
        <v>-663627</v>
      </c>
      <c r="AG28" s="210">
        <f t="shared" si="1"/>
        <v>-2365223</v>
      </c>
      <c r="AH28" s="207" t="str">
        <f t="shared" si="2"/>
        <v>OK</v>
      </c>
    </row>
    <row r="29" spans="1:35" ht="31.5" customHeight="1">
      <c r="A29" s="66">
        <v>22</v>
      </c>
      <c r="B29" s="88" t="s">
        <v>438</v>
      </c>
      <c r="C29" s="98" t="s">
        <v>439</v>
      </c>
      <c r="D29" s="37" t="s">
        <v>454</v>
      </c>
      <c r="E29" s="38" t="s">
        <v>455</v>
      </c>
      <c r="F29" s="131">
        <v>475691</v>
      </c>
      <c r="G29" s="131"/>
      <c r="H29" s="131"/>
      <c r="I29" s="131"/>
      <c r="J29" s="131"/>
      <c r="K29" s="131"/>
      <c r="L29" s="131">
        <v>482713</v>
      </c>
      <c r="M29" s="177"/>
      <c r="N29" s="26">
        <v>-475691</v>
      </c>
      <c r="O29" s="46">
        <v>485336</v>
      </c>
      <c r="P29" s="119">
        <v>-485336</v>
      </c>
      <c r="Q29" s="47">
        <v>-316194</v>
      </c>
      <c r="R29" s="48">
        <v>0</v>
      </c>
      <c r="S29" s="48">
        <v>0</v>
      </c>
      <c r="T29" s="49">
        <v>-159497</v>
      </c>
      <c r="U29" s="119"/>
      <c r="V29" s="149"/>
      <c r="W29" s="129"/>
      <c r="X29" s="66" t="s">
        <v>752</v>
      </c>
      <c r="Y29" s="128">
        <f t="shared" si="0"/>
        <v>0</v>
      </c>
      <c r="AG29" s="210">
        <f t="shared" si="1"/>
        <v>0</v>
      </c>
      <c r="AH29" s="207" t="str">
        <f t="shared" si="2"/>
        <v>OK</v>
      </c>
      <c r="AI29" s="25"/>
    </row>
    <row r="30" spans="1:34" ht="31.5" customHeight="1">
      <c r="A30" s="66">
        <v>23</v>
      </c>
      <c r="B30" s="89"/>
      <c r="C30" s="91"/>
      <c r="D30" s="50"/>
      <c r="E30" s="50" t="s">
        <v>404</v>
      </c>
      <c r="F30" s="132">
        <v>12694</v>
      </c>
      <c r="G30" s="132"/>
      <c r="H30" s="132"/>
      <c r="I30" s="132"/>
      <c r="J30" s="132"/>
      <c r="K30" s="132"/>
      <c r="L30" s="132">
        <v>16035</v>
      </c>
      <c r="M30" s="176"/>
      <c r="N30" s="33">
        <v>-12694</v>
      </c>
      <c r="O30" s="176">
        <v>22892</v>
      </c>
      <c r="P30" s="118">
        <v>-22892</v>
      </c>
      <c r="Q30" s="34">
        <v>-12420</v>
      </c>
      <c r="R30" s="35">
        <v>0</v>
      </c>
      <c r="S30" s="35">
        <v>0</v>
      </c>
      <c r="T30" s="27">
        <v>-274</v>
      </c>
      <c r="U30" s="118"/>
      <c r="V30" s="155"/>
      <c r="W30" s="142"/>
      <c r="X30" s="66" t="s">
        <v>421</v>
      </c>
      <c r="Y30" s="128">
        <f t="shared" si="0"/>
        <v>0</v>
      </c>
      <c r="AE30" s="25"/>
      <c r="AG30" s="210">
        <f t="shared" si="1"/>
        <v>0</v>
      </c>
      <c r="AH30" s="207" t="str">
        <f t="shared" si="2"/>
        <v>OK</v>
      </c>
    </row>
    <row r="31" spans="1:34" ht="31.5" customHeight="1" thickBot="1">
      <c r="A31" s="66">
        <v>24</v>
      </c>
      <c r="B31" s="89"/>
      <c r="C31" s="240"/>
      <c r="D31" s="51" t="s">
        <v>405</v>
      </c>
      <c r="E31" s="50"/>
      <c r="F31" s="132">
        <v>67000</v>
      </c>
      <c r="G31" s="132"/>
      <c r="H31" s="132"/>
      <c r="I31" s="132"/>
      <c r="J31" s="132"/>
      <c r="K31" s="132"/>
      <c r="L31" s="132">
        <v>78000</v>
      </c>
      <c r="M31" s="176"/>
      <c r="N31" s="33">
        <v>-67000</v>
      </c>
      <c r="O31" s="176">
        <v>81000</v>
      </c>
      <c r="P31" s="118"/>
      <c r="Q31" s="34">
        <v>-44600</v>
      </c>
      <c r="R31" s="35"/>
      <c r="S31" s="35">
        <v>-20800</v>
      </c>
      <c r="T31" s="27">
        <v>-1600</v>
      </c>
      <c r="U31" s="118"/>
      <c r="V31" s="155"/>
      <c r="W31" s="142"/>
      <c r="X31" s="66" t="s">
        <v>421</v>
      </c>
      <c r="Y31" s="128">
        <f t="shared" si="0"/>
        <v>0</v>
      </c>
      <c r="AE31" s="25"/>
      <c r="AG31" s="210">
        <f t="shared" si="1"/>
        <v>0</v>
      </c>
      <c r="AH31" s="207" t="str">
        <f t="shared" si="2"/>
        <v>OK</v>
      </c>
    </row>
    <row r="32" spans="2:34" ht="31.5" customHeight="1" thickBot="1">
      <c r="B32" s="95"/>
      <c r="C32" s="69"/>
      <c r="D32" s="57"/>
      <c r="E32" s="57" t="s">
        <v>403</v>
      </c>
      <c r="F32" s="103">
        <f>SUM(F29:F31)</f>
        <v>555385</v>
      </c>
      <c r="G32" s="103">
        <f aca="true" t="shared" si="7" ref="G32:T32">SUM(G29:G31)</f>
        <v>0</v>
      </c>
      <c r="H32" s="103">
        <f t="shared" si="7"/>
        <v>0</v>
      </c>
      <c r="I32" s="103">
        <f t="shared" si="7"/>
        <v>0</v>
      </c>
      <c r="J32" s="103">
        <f t="shared" si="7"/>
        <v>0</v>
      </c>
      <c r="K32" s="103">
        <f t="shared" si="7"/>
        <v>0</v>
      </c>
      <c r="L32" s="103">
        <f t="shared" si="7"/>
        <v>576748</v>
      </c>
      <c r="M32" s="121">
        <f t="shared" si="7"/>
        <v>0</v>
      </c>
      <c r="N32" s="333">
        <f t="shared" si="7"/>
        <v>-555385</v>
      </c>
      <c r="O32" s="58">
        <f t="shared" si="7"/>
        <v>589228</v>
      </c>
      <c r="P32" s="121">
        <f t="shared" si="7"/>
        <v>-508228</v>
      </c>
      <c r="Q32" s="338">
        <f t="shared" si="7"/>
        <v>-373214</v>
      </c>
      <c r="R32" s="105">
        <f t="shared" si="7"/>
        <v>0</v>
      </c>
      <c r="S32" s="105">
        <f t="shared" si="7"/>
        <v>-20800</v>
      </c>
      <c r="T32" s="106">
        <f t="shared" si="7"/>
        <v>-161371</v>
      </c>
      <c r="U32" s="121"/>
      <c r="V32" s="106"/>
      <c r="W32" s="144"/>
      <c r="Y32" s="128">
        <f t="shared" si="0"/>
        <v>0</v>
      </c>
      <c r="AA32" s="333">
        <f aca="true" t="shared" si="8" ref="AA32:AF32">SUM(AA31:AA31)</f>
        <v>0</v>
      </c>
      <c r="AB32" s="333">
        <f t="shared" si="8"/>
        <v>0</v>
      </c>
      <c r="AC32" s="333">
        <f t="shared" si="8"/>
        <v>0</v>
      </c>
      <c r="AD32" s="333">
        <f t="shared" si="8"/>
        <v>0</v>
      </c>
      <c r="AE32" s="333">
        <f t="shared" si="8"/>
        <v>0</v>
      </c>
      <c r="AF32" s="333">
        <f t="shared" si="8"/>
        <v>0</v>
      </c>
      <c r="AG32" s="210">
        <f t="shared" si="1"/>
        <v>0</v>
      </c>
      <c r="AH32" s="207" t="str">
        <f t="shared" si="2"/>
        <v>OK</v>
      </c>
    </row>
    <row r="33" spans="1:34" ht="39" customHeight="1">
      <c r="A33" s="66">
        <v>25</v>
      </c>
      <c r="B33" s="88" t="s">
        <v>231</v>
      </c>
      <c r="C33" s="90" t="s">
        <v>230</v>
      </c>
      <c r="D33" s="51" t="s">
        <v>443</v>
      </c>
      <c r="E33" s="50" t="s">
        <v>130</v>
      </c>
      <c r="F33" s="132">
        <v>3125</v>
      </c>
      <c r="G33" s="132"/>
      <c r="H33" s="132"/>
      <c r="I33" s="132"/>
      <c r="J33" s="132"/>
      <c r="K33" s="132"/>
      <c r="L33" s="132">
        <v>4500</v>
      </c>
      <c r="M33" s="176"/>
      <c r="N33" s="33">
        <v>-3125</v>
      </c>
      <c r="O33" s="176">
        <v>4500</v>
      </c>
      <c r="P33" s="118"/>
      <c r="Q33" s="34"/>
      <c r="R33" s="35"/>
      <c r="S33" s="35"/>
      <c r="T33" s="27">
        <v>-3125</v>
      </c>
      <c r="U33" s="118"/>
      <c r="V33" s="155"/>
      <c r="W33" s="142" t="s">
        <v>35</v>
      </c>
      <c r="X33" s="66" t="s">
        <v>421</v>
      </c>
      <c r="Y33" s="128">
        <f t="shared" si="0"/>
        <v>0</v>
      </c>
      <c r="AE33" s="25"/>
      <c r="AG33" s="210">
        <f t="shared" si="1"/>
        <v>0</v>
      </c>
      <c r="AH33" s="207" t="str">
        <f t="shared" si="2"/>
        <v>OK</v>
      </c>
    </row>
    <row r="34" spans="1:34" ht="39" customHeight="1" thickBot="1">
      <c r="A34" s="66">
        <v>26</v>
      </c>
      <c r="B34" s="89"/>
      <c r="C34" s="93" t="s">
        <v>675</v>
      </c>
      <c r="D34" s="38" t="s">
        <v>85</v>
      </c>
      <c r="E34" s="38" t="s">
        <v>502</v>
      </c>
      <c r="F34" s="131">
        <v>35869</v>
      </c>
      <c r="G34" s="131"/>
      <c r="H34" s="131"/>
      <c r="I34" s="131"/>
      <c r="J34" s="131"/>
      <c r="K34" s="131"/>
      <c r="L34" s="131">
        <v>14423</v>
      </c>
      <c r="M34" s="177"/>
      <c r="N34" s="26">
        <v>-35869</v>
      </c>
      <c r="O34" s="177"/>
      <c r="P34" s="119"/>
      <c r="Q34" s="47"/>
      <c r="R34" s="48"/>
      <c r="S34" s="48"/>
      <c r="T34" s="49">
        <v>-35869</v>
      </c>
      <c r="U34" s="62"/>
      <c r="V34" s="150"/>
      <c r="W34" s="129" t="s">
        <v>503</v>
      </c>
      <c r="X34" s="66" t="s">
        <v>421</v>
      </c>
      <c r="Y34" s="128">
        <f t="shared" si="0"/>
        <v>0</v>
      </c>
      <c r="AE34" s="346"/>
      <c r="AG34" s="210">
        <f t="shared" si="1"/>
        <v>0</v>
      </c>
      <c r="AH34" s="207" t="str">
        <f t="shared" si="2"/>
        <v>OK</v>
      </c>
    </row>
    <row r="35" spans="1:34" ht="58.5" customHeight="1" thickBot="1">
      <c r="A35" s="66">
        <v>27</v>
      </c>
      <c r="B35" s="243"/>
      <c r="C35" s="240" t="s">
        <v>86</v>
      </c>
      <c r="D35" s="63" t="s">
        <v>87</v>
      </c>
      <c r="E35" s="63" t="s">
        <v>88</v>
      </c>
      <c r="F35" s="355">
        <v>87000</v>
      </c>
      <c r="G35" s="356"/>
      <c r="H35" s="356"/>
      <c r="I35" s="356"/>
      <c r="J35" s="356"/>
      <c r="K35" s="356"/>
      <c r="L35" s="356">
        <v>87000</v>
      </c>
      <c r="M35" s="356"/>
      <c r="N35" s="357">
        <v>-87000</v>
      </c>
      <c r="O35" s="358"/>
      <c r="P35" s="359"/>
      <c r="Q35" s="359"/>
      <c r="R35" s="204"/>
      <c r="S35" s="204"/>
      <c r="T35" s="360">
        <v>-87000</v>
      </c>
      <c r="U35" s="68"/>
      <c r="V35" s="64"/>
      <c r="W35" s="144" t="s">
        <v>708</v>
      </c>
      <c r="X35" s="66" t="s">
        <v>421</v>
      </c>
      <c r="Y35" s="128">
        <f t="shared" si="0"/>
        <v>0</v>
      </c>
      <c r="AA35" s="342"/>
      <c r="AB35" s="342"/>
      <c r="AC35" s="342"/>
      <c r="AD35" s="342"/>
      <c r="AE35" s="342"/>
      <c r="AF35" s="342"/>
      <c r="AG35" s="210">
        <f t="shared" si="1"/>
        <v>0</v>
      </c>
      <c r="AH35" s="207" t="str">
        <f t="shared" si="2"/>
        <v>OK</v>
      </c>
    </row>
    <row r="36" spans="2:34" ht="31.5" customHeight="1" thickBot="1">
      <c r="B36" s="95"/>
      <c r="C36" s="69"/>
      <c r="D36" s="57"/>
      <c r="E36" s="57" t="s">
        <v>403</v>
      </c>
      <c r="F36" s="103">
        <f>SUM(F33:F35)</f>
        <v>125994</v>
      </c>
      <c r="G36" s="103">
        <f aca="true" t="shared" si="9" ref="G36:T36">SUM(G33:G35)</f>
        <v>0</v>
      </c>
      <c r="H36" s="103">
        <f t="shared" si="9"/>
        <v>0</v>
      </c>
      <c r="I36" s="103">
        <f t="shared" si="9"/>
        <v>0</v>
      </c>
      <c r="J36" s="103">
        <f t="shared" si="9"/>
        <v>0</v>
      </c>
      <c r="K36" s="103">
        <f t="shared" si="9"/>
        <v>0</v>
      </c>
      <c r="L36" s="103">
        <f t="shared" si="9"/>
        <v>105923</v>
      </c>
      <c r="M36" s="121">
        <f t="shared" si="9"/>
        <v>0</v>
      </c>
      <c r="N36" s="333">
        <f t="shared" si="9"/>
        <v>-125994</v>
      </c>
      <c r="O36" s="58">
        <f t="shared" si="9"/>
        <v>4500</v>
      </c>
      <c r="P36" s="121">
        <f t="shared" si="9"/>
        <v>0</v>
      </c>
      <c r="Q36" s="338">
        <f t="shared" si="9"/>
        <v>0</v>
      </c>
      <c r="R36" s="105">
        <f t="shared" si="9"/>
        <v>0</v>
      </c>
      <c r="S36" s="105">
        <f t="shared" si="9"/>
        <v>0</v>
      </c>
      <c r="T36" s="106">
        <f t="shared" si="9"/>
        <v>-125994</v>
      </c>
      <c r="U36" s="121"/>
      <c r="V36" s="106"/>
      <c r="W36" s="144"/>
      <c r="Y36" s="128">
        <f t="shared" si="0"/>
        <v>0</v>
      </c>
      <c r="AA36" s="333">
        <f aca="true" t="shared" si="10" ref="AA36:AF36">SUM(AA33:AA35)</f>
        <v>0</v>
      </c>
      <c r="AB36" s="333">
        <f t="shared" si="10"/>
        <v>0</v>
      </c>
      <c r="AC36" s="333">
        <f t="shared" si="10"/>
        <v>0</v>
      </c>
      <c r="AD36" s="333">
        <f t="shared" si="10"/>
        <v>0</v>
      </c>
      <c r="AE36" s="333">
        <f t="shared" si="10"/>
        <v>0</v>
      </c>
      <c r="AF36" s="333">
        <f t="shared" si="10"/>
        <v>0</v>
      </c>
      <c r="AG36" s="210">
        <f t="shared" si="1"/>
        <v>0</v>
      </c>
      <c r="AH36" s="207" t="str">
        <f t="shared" si="2"/>
        <v>OK</v>
      </c>
    </row>
    <row r="37" spans="1:34" ht="31.5" customHeight="1">
      <c r="A37" s="66">
        <v>28</v>
      </c>
      <c r="B37" s="89" t="s">
        <v>196</v>
      </c>
      <c r="C37" s="192" t="s">
        <v>598</v>
      </c>
      <c r="D37" s="51" t="s">
        <v>599</v>
      </c>
      <c r="E37" s="50" t="s">
        <v>600</v>
      </c>
      <c r="F37" s="132">
        <v>10083</v>
      </c>
      <c r="G37" s="132"/>
      <c r="H37" s="132"/>
      <c r="I37" s="132"/>
      <c r="J37" s="132"/>
      <c r="K37" s="132"/>
      <c r="L37" s="132">
        <v>10306</v>
      </c>
      <c r="M37" s="176">
        <f>F37*0.9</f>
        <v>9074.7</v>
      </c>
      <c r="N37" s="33">
        <v>-9000</v>
      </c>
      <c r="O37" s="32"/>
      <c r="P37" s="33"/>
      <c r="Q37" s="34"/>
      <c r="R37" s="35"/>
      <c r="S37" s="35"/>
      <c r="T37" s="27">
        <v>-9000</v>
      </c>
      <c r="U37" s="118"/>
      <c r="V37" s="155"/>
      <c r="W37" s="142"/>
      <c r="X37" s="66" t="s">
        <v>421</v>
      </c>
      <c r="Y37" s="128">
        <f t="shared" si="0"/>
        <v>0</v>
      </c>
      <c r="AA37" s="62"/>
      <c r="AB37" s="62"/>
      <c r="AC37" s="62"/>
      <c r="AD37" s="62"/>
      <c r="AE37" s="62"/>
      <c r="AF37" s="62"/>
      <c r="AG37" s="210">
        <f t="shared" si="1"/>
        <v>0</v>
      </c>
      <c r="AH37" s="207" t="str">
        <f t="shared" si="2"/>
        <v>OK</v>
      </c>
    </row>
    <row r="38" spans="1:34" ht="31.5" customHeight="1">
      <c r="A38" s="66">
        <v>29</v>
      </c>
      <c r="B38" s="89"/>
      <c r="C38" s="92" t="s">
        <v>199</v>
      </c>
      <c r="D38" s="51" t="s">
        <v>200</v>
      </c>
      <c r="E38" s="50" t="s">
        <v>201</v>
      </c>
      <c r="F38" s="132">
        <v>720</v>
      </c>
      <c r="G38" s="132"/>
      <c r="H38" s="132"/>
      <c r="I38" s="132"/>
      <c r="J38" s="132"/>
      <c r="K38" s="132"/>
      <c r="L38" s="132">
        <v>790</v>
      </c>
      <c r="M38" s="176"/>
      <c r="N38" s="33">
        <v>-720</v>
      </c>
      <c r="O38" s="32">
        <v>1580</v>
      </c>
      <c r="P38" s="33"/>
      <c r="Q38" s="34"/>
      <c r="R38" s="35"/>
      <c r="S38" s="35"/>
      <c r="T38" s="27">
        <v>-720</v>
      </c>
      <c r="U38" s="118"/>
      <c r="V38" s="155"/>
      <c r="W38" s="142"/>
      <c r="X38" s="66" t="s">
        <v>421</v>
      </c>
      <c r="Y38" s="128">
        <f aca="true" t="shared" si="11" ref="Y38:Y69">N38-Q38-R38-S38-T38</f>
        <v>0</v>
      </c>
      <c r="AE38" s="25"/>
      <c r="AG38" s="210">
        <f aca="true" t="shared" si="12" ref="AG38:AG69">SUM(AA38:AF38)</f>
        <v>0</v>
      </c>
      <c r="AH38" s="207" t="str">
        <f aca="true" t="shared" si="13" ref="AH38:AH69">IF(R38=AG38,"OK","OUT")</f>
        <v>OK</v>
      </c>
    </row>
    <row r="39" spans="1:34" ht="49.5" customHeight="1">
      <c r="A39" s="66">
        <v>30</v>
      </c>
      <c r="B39" s="89"/>
      <c r="C39" s="90" t="s">
        <v>229</v>
      </c>
      <c r="D39" s="51" t="s">
        <v>228</v>
      </c>
      <c r="E39" s="50" t="s">
        <v>601</v>
      </c>
      <c r="F39" s="132">
        <v>14894</v>
      </c>
      <c r="G39" s="132"/>
      <c r="H39" s="132"/>
      <c r="I39" s="132"/>
      <c r="J39" s="132"/>
      <c r="K39" s="132"/>
      <c r="L39" s="132">
        <v>11509</v>
      </c>
      <c r="M39" s="176"/>
      <c r="N39" s="33">
        <v>-1050</v>
      </c>
      <c r="O39" s="32"/>
      <c r="P39" s="33"/>
      <c r="Q39" s="34"/>
      <c r="R39" s="35"/>
      <c r="S39" s="35"/>
      <c r="T39" s="27">
        <v>-1050</v>
      </c>
      <c r="U39" s="118"/>
      <c r="V39" s="155"/>
      <c r="W39" s="142" t="s">
        <v>606</v>
      </c>
      <c r="X39" s="66" t="s">
        <v>421</v>
      </c>
      <c r="Y39" s="128">
        <f t="shared" si="11"/>
        <v>0</v>
      </c>
      <c r="AG39" s="210">
        <f t="shared" si="12"/>
        <v>0</v>
      </c>
      <c r="AH39" s="207" t="str">
        <f t="shared" si="13"/>
        <v>OK</v>
      </c>
    </row>
    <row r="40" spans="1:34" ht="48" customHeight="1" thickBot="1">
      <c r="A40" s="66">
        <v>31</v>
      </c>
      <c r="B40" s="89"/>
      <c r="C40" s="240"/>
      <c r="D40" s="51" t="s">
        <v>38</v>
      </c>
      <c r="E40" s="50" t="s">
        <v>512</v>
      </c>
      <c r="F40" s="132">
        <v>5761</v>
      </c>
      <c r="G40" s="132"/>
      <c r="H40" s="132"/>
      <c r="I40" s="132"/>
      <c r="J40" s="132"/>
      <c r="K40" s="132"/>
      <c r="L40" s="132">
        <v>4500</v>
      </c>
      <c r="M40" s="176"/>
      <c r="N40" s="33">
        <v>-5761</v>
      </c>
      <c r="O40" s="32">
        <v>4537</v>
      </c>
      <c r="P40" s="33"/>
      <c r="Q40" s="34"/>
      <c r="R40" s="35"/>
      <c r="S40" s="35"/>
      <c r="T40" s="27">
        <v>-5761</v>
      </c>
      <c r="U40" s="118"/>
      <c r="V40" s="155"/>
      <c r="W40" s="143" t="s">
        <v>513</v>
      </c>
      <c r="X40" s="66" t="s">
        <v>421</v>
      </c>
      <c r="Y40" s="128">
        <f t="shared" si="11"/>
        <v>0</v>
      </c>
      <c r="AA40" s="25"/>
      <c r="AB40" s="25"/>
      <c r="AC40" s="25"/>
      <c r="AD40" s="25"/>
      <c r="AF40" s="25"/>
      <c r="AG40" s="210">
        <f t="shared" si="12"/>
        <v>0</v>
      </c>
      <c r="AH40" s="207" t="str">
        <f t="shared" si="13"/>
        <v>OK</v>
      </c>
    </row>
    <row r="41" spans="2:34" ht="31.5" customHeight="1" thickBot="1">
      <c r="B41" s="95"/>
      <c r="C41" s="69"/>
      <c r="D41" s="57"/>
      <c r="E41" s="57" t="s">
        <v>403</v>
      </c>
      <c r="F41" s="103">
        <f>SUM(F37:F40)</f>
        <v>31458</v>
      </c>
      <c r="G41" s="103">
        <f aca="true" t="shared" si="14" ref="G41:T41">SUM(G37:G40)</f>
        <v>0</v>
      </c>
      <c r="H41" s="103">
        <f t="shared" si="14"/>
        <v>0</v>
      </c>
      <c r="I41" s="103">
        <f t="shared" si="14"/>
        <v>0</v>
      </c>
      <c r="J41" s="103">
        <f t="shared" si="14"/>
        <v>0</v>
      </c>
      <c r="K41" s="103">
        <f t="shared" si="14"/>
        <v>0</v>
      </c>
      <c r="L41" s="103">
        <f t="shared" si="14"/>
        <v>27105</v>
      </c>
      <c r="M41" s="121">
        <f t="shared" si="14"/>
        <v>9074.7</v>
      </c>
      <c r="N41" s="333">
        <f t="shared" si="14"/>
        <v>-16531</v>
      </c>
      <c r="O41" s="58">
        <f t="shared" si="14"/>
        <v>6117</v>
      </c>
      <c r="P41" s="121">
        <f t="shared" si="14"/>
        <v>0</v>
      </c>
      <c r="Q41" s="338">
        <f t="shared" si="14"/>
        <v>0</v>
      </c>
      <c r="R41" s="105">
        <f t="shared" si="14"/>
        <v>0</v>
      </c>
      <c r="S41" s="105">
        <f t="shared" si="14"/>
        <v>0</v>
      </c>
      <c r="T41" s="106">
        <f t="shared" si="14"/>
        <v>-16531</v>
      </c>
      <c r="U41" s="121"/>
      <c r="V41" s="106"/>
      <c r="W41" s="144"/>
      <c r="Y41" s="128">
        <f t="shared" si="11"/>
        <v>0</v>
      </c>
      <c r="AA41" s="333">
        <f aca="true" t="shared" si="15" ref="AA41:AF41">SUM(AA37:AA40)</f>
        <v>0</v>
      </c>
      <c r="AB41" s="333">
        <f t="shared" si="15"/>
        <v>0</v>
      </c>
      <c r="AC41" s="333">
        <f t="shared" si="15"/>
        <v>0</v>
      </c>
      <c r="AD41" s="333">
        <f t="shared" si="15"/>
        <v>0</v>
      </c>
      <c r="AE41" s="333">
        <f t="shared" si="15"/>
        <v>0</v>
      </c>
      <c r="AF41" s="333">
        <f t="shared" si="15"/>
        <v>0</v>
      </c>
      <c r="AG41" s="210">
        <f t="shared" si="12"/>
        <v>0</v>
      </c>
      <c r="AH41" s="207" t="str">
        <f t="shared" si="13"/>
        <v>OK</v>
      </c>
    </row>
    <row r="42" spans="1:34" ht="55.5" customHeight="1">
      <c r="A42" s="66">
        <v>32</v>
      </c>
      <c r="B42" s="89" t="s">
        <v>406</v>
      </c>
      <c r="C42" s="98" t="s">
        <v>738</v>
      </c>
      <c r="D42" s="51" t="s">
        <v>739</v>
      </c>
      <c r="E42" s="50" t="s">
        <v>740</v>
      </c>
      <c r="F42" s="132">
        <v>36978</v>
      </c>
      <c r="G42" s="132"/>
      <c r="H42" s="132"/>
      <c r="I42" s="132"/>
      <c r="J42" s="132"/>
      <c r="K42" s="132"/>
      <c r="L42" s="132">
        <v>40073</v>
      </c>
      <c r="M42" s="176"/>
      <c r="N42" s="33">
        <v>-36978</v>
      </c>
      <c r="O42" s="32">
        <v>26107</v>
      </c>
      <c r="P42" s="33"/>
      <c r="Q42" s="34"/>
      <c r="R42" s="35"/>
      <c r="S42" s="35"/>
      <c r="T42" s="27">
        <v>-36978</v>
      </c>
      <c r="U42" s="118"/>
      <c r="V42" s="155"/>
      <c r="W42" s="143"/>
      <c r="X42" s="66" t="s">
        <v>421</v>
      </c>
      <c r="Y42" s="128">
        <f t="shared" si="11"/>
        <v>0</v>
      </c>
      <c r="AA42" s="25"/>
      <c r="AB42" s="25"/>
      <c r="AC42" s="25"/>
      <c r="AD42" s="25"/>
      <c r="AF42" s="25"/>
      <c r="AG42" s="210">
        <f t="shared" si="12"/>
        <v>0</v>
      </c>
      <c r="AH42" s="207" t="str">
        <f t="shared" si="13"/>
        <v>OK</v>
      </c>
    </row>
    <row r="43" spans="1:34" ht="55.5" customHeight="1">
      <c r="A43" s="66">
        <v>33</v>
      </c>
      <c r="B43" s="89"/>
      <c r="C43" s="92"/>
      <c r="D43" s="38" t="s">
        <v>741</v>
      </c>
      <c r="E43" s="50" t="s">
        <v>742</v>
      </c>
      <c r="F43" s="132">
        <v>710662</v>
      </c>
      <c r="G43" s="132"/>
      <c r="H43" s="132"/>
      <c r="I43" s="132"/>
      <c r="J43" s="132"/>
      <c r="K43" s="132"/>
      <c r="L43" s="132">
        <v>856753</v>
      </c>
      <c r="M43" s="176"/>
      <c r="N43" s="33">
        <v>-710662</v>
      </c>
      <c r="O43" s="32">
        <v>688353</v>
      </c>
      <c r="P43" s="118"/>
      <c r="Q43" s="34">
        <v>-710662</v>
      </c>
      <c r="R43" s="35"/>
      <c r="S43" s="35"/>
      <c r="T43" s="27"/>
      <c r="U43" s="118"/>
      <c r="V43" s="155"/>
      <c r="W43" s="129" t="s">
        <v>197</v>
      </c>
      <c r="X43" s="66" t="s">
        <v>421</v>
      </c>
      <c r="Y43" s="128">
        <f t="shared" si="11"/>
        <v>0</v>
      </c>
      <c r="AA43" s="351" t="s">
        <v>286</v>
      </c>
      <c r="AB43" s="351" t="s">
        <v>287</v>
      </c>
      <c r="AC43" s="352" t="s">
        <v>681</v>
      </c>
      <c r="AD43" s="352" t="s">
        <v>288</v>
      </c>
      <c r="AE43" s="352" t="s">
        <v>778</v>
      </c>
      <c r="AF43" s="351" t="s">
        <v>289</v>
      </c>
      <c r="AG43" s="210">
        <f t="shared" si="12"/>
        <v>0</v>
      </c>
      <c r="AH43" s="207" t="str">
        <f t="shared" si="13"/>
        <v>OK</v>
      </c>
    </row>
    <row r="44" spans="1:34" ht="54" customHeight="1">
      <c r="A44" s="66">
        <v>34</v>
      </c>
      <c r="B44" s="89"/>
      <c r="C44" s="90" t="s">
        <v>716</v>
      </c>
      <c r="D44" s="38" t="s">
        <v>748</v>
      </c>
      <c r="E44" s="50"/>
      <c r="F44" s="132">
        <v>8527777</v>
      </c>
      <c r="G44" s="132">
        <v>8527777</v>
      </c>
      <c r="H44" s="318">
        <v>4879554</v>
      </c>
      <c r="I44" s="318">
        <v>1013423</v>
      </c>
      <c r="J44" s="318">
        <v>1709700</v>
      </c>
      <c r="K44" s="318">
        <v>925100</v>
      </c>
      <c r="L44" s="132">
        <v>9529946</v>
      </c>
      <c r="M44" s="176">
        <f>F44*0.3</f>
        <v>2558333.1</v>
      </c>
      <c r="N44" s="33">
        <f aca="true" t="shared" si="16" ref="N44:N50">Q44+R44+S44+T44</f>
        <v>-2558333</v>
      </c>
      <c r="O44" s="32">
        <v>10314888</v>
      </c>
      <c r="P44" s="118"/>
      <c r="Q44" s="34">
        <v>-1463866</v>
      </c>
      <c r="R44" s="35">
        <v>-304027</v>
      </c>
      <c r="S44" s="35">
        <v>-512910</v>
      </c>
      <c r="T44" s="27">
        <v>-277530</v>
      </c>
      <c r="U44" s="118"/>
      <c r="V44" s="155"/>
      <c r="W44" s="129" t="s">
        <v>515</v>
      </c>
      <c r="X44" s="66" t="s">
        <v>421</v>
      </c>
      <c r="Y44" s="128">
        <f t="shared" si="11"/>
        <v>0</v>
      </c>
      <c r="AA44" s="341">
        <v>-300740</v>
      </c>
      <c r="AB44" s="341">
        <v>0</v>
      </c>
      <c r="AC44" s="345">
        <v>0</v>
      </c>
      <c r="AD44" s="345">
        <v>0</v>
      </c>
      <c r="AE44" s="345">
        <v>0</v>
      </c>
      <c r="AF44" s="345">
        <v>-3287</v>
      </c>
      <c r="AG44" s="210">
        <f t="shared" si="12"/>
        <v>-304027</v>
      </c>
      <c r="AH44" s="207" t="str">
        <f t="shared" si="13"/>
        <v>OK</v>
      </c>
    </row>
    <row r="45" spans="1:34" ht="45" customHeight="1">
      <c r="A45" s="66">
        <v>35</v>
      </c>
      <c r="B45" s="89"/>
      <c r="C45" s="92"/>
      <c r="D45" s="50" t="s">
        <v>146</v>
      </c>
      <c r="E45" s="50"/>
      <c r="F45" s="132">
        <v>4717443</v>
      </c>
      <c r="G45" s="132">
        <v>4717443</v>
      </c>
      <c r="H45" s="318">
        <v>0</v>
      </c>
      <c r="I45" s="318">
        <v>1777568</v>
      </c>
      <c r="J45" s="318">
        <v>0</v>
      </c>
      <c r="K45" s="318">
        <v>2939875</v>
      </c>
      <c r="L45" s="132">
        <v>5030462</v>
      </c>
      <c r="M45" s="176"/>
      <c r="N45" s="33">
        <f t="shared" si="16"/>
        <v>-1415232</v>
      </c>
      <c r="O45" s="32">
        <v>5300486</v>
      </c>
      <c r="P45" s="118"/>
      <c r="Q45" s="34">
        <v>0</v>
      </c>
      <c r="R45" s="35">
        <v>-533270</v>
      </c>
      <c r="S45" s="35">
        <v>0</v>
      </c>
      <c r="T45" s="27">
        <v>-881962</v>
      </c>
      <c r="U45" s="118"/>
      <c r="V45" s="155"/>
      <c r="W45" s="142" t="s">
        <v>155</v>
      </c>
      <c r="X45" s="66" t="s">
        <v>421</v>
      </c>
      <c r="Y45" s="128">
        <f t="shared" si="11"/>
        <v>0</v>
      </c>
      <c r="AA45" s="341">
        <v>-533270</v>
      </c>
      <c r="AB45" s="341">
        <v>0</v>
      </c>
      <c r="AC45" s="345">
        <v>0</v>
      </c>
      <c r="AD45" s="345">
        <v>0</v>
      </c>
      <c r="AE45" s="345">
        <v>0</v>
      </c>
      <c r="AF45" s="345">
        <v>0</v>
      </c>
      <c r="AG45" s="210">
        <f t="shared" si="12"/>
        <v>-533270</v>
      </c>
      <c r="AH45" s="207" t="str">
        <f t="shared" si="13"/>
        <v>OK</v>
      </c>
    </row>
    <row r="46" spans="1:34" ht="36" customHeight="1">
      <c r="A46" s="66">
        <v>36</v>
      </c>
      <c r="B46" s="89"/>
      <c r="C46" s="90" t="s">
        <v>147</v>
      </c>
      <c r="D46" s="56" t="s">
        <v>148</v>
      </c>
      <c r="E46" s="50"/>
      <c r="F46" s="132">
        <v>4589306</v>
      </c>
      <c r="G46" s="132">
        <v>4589306</v>
      </c>
      <c r="H46" s="318">
        <v>2388893</v>
      </c>
      <c r="I46" s="318">
        <v>661049</v>
      </c>
      <c r="J46" s="318">
        <v>1525200</v>
      </c>
      <c r="K46" s="318">
        <v>14164</v>
      </c>
      <c r="L46" s="132">
        <v>4264524</v>
      </c>
      <c r="M46" s="176">
        <f>F46*0.3</f>
        <v>1376791.8</v>
      </c>
      <c r="N46" s="33">
        <f t="shared" si="16"/>
        <v>-1376792</v>
      </c>
      <c r="O46" s="32">
        <v>5808840</v>
      </c>
      <c r="P46" s="118"/>
      <c r="Q46" s="34">
        <v>-716668</v>
      </c>
      <c r="R46" s="35">
        <v>-198315</v>
      </c>
      <c r="S46" s="35">
        <v>-457560</v>
      </c>
      <c r="T46" s="27">
        <v>-4249</v>
      </c>
      <c r="U46" s="118"/>
      <c r="V46" s="155"/>
      <c r="W46" s="142" t="s">
        <v>514</v>
      </c>
      <c r="X46" s="66" t="s">
        <v>421</v>
      </c>
      <c r="Y46" s="128">
        <f t="shared" si="11"/>
        <v>0</v>
      </c>
      <c r="AA46" s="341">
        <v>-198315</v>
      </c>
      <c r="AB46" s="341">
        <v>0</v>
      </c>
      <c r="AC46" s="345">
        <v>0</v>
      </c>
      <c r="AD46" s="345">
        <v>0</v>
      </c>
      <c r="AE46" s="345">
        <v>0</v>
      </c>
      <c r="AF46" s="345">
        <v>0</v>
      </c>
      <c r="AG46" s="210">
        <f t="shared" si="12"/>
        <v>-198315</v>
      </c>
      <c r="AH46" s="207" t="str">
        <f t="shared" si="13"/>
        <v>OK</v>
      </c>
    </row>
    <row r="47" spans="1:34" ht="42" customHeight="1">
      <c r="A47" s="66">
        <v>37</v>
      </c>
      <c r="B47" s="89"/>
      <c r="C47" s="90" t="s">
        <v>714</v>
      </c>
      <c r="D47" s="56" t="s">
        <v>715</v>
      </c>
      <c r="E47" s="50"/>
      <c r="F47" s="132">
        <v>36227</v>
      </c>
      <c r="G47" s="132">
        <v>36227</v>
      </c>
      <c r="H47" s="318">
        <v>20218</v>
      </c>
      <c r="I47" s="318">
        <v>0</v>
      </c>
      <c r="J47" s="318">
        <v>0</v>
      </c>
      <c r="K47" s="318">
        <v>16009</v>
      </c>
      <c r="L47" s="132">
        <v>58310</v>
      </c>
      <c r="M47" s="176"/>
      <c r="N47" s="33">
        <f t="shared" si="16"/>
        <v>-10868</v>
      </c>
      <c r="O47" s="32">
        <v>62818</v>
      </c>
      <c r="P47" s="118"/>
      <c r="Q47" s="34">
        <v>-6065</v>
      </c>
      <c r="R47" s="35">
        <v>0</v>
      </c>
      <c r="S47" s="35">
        <v>0</v>
      </c>
      <c r="T47" s="27">
        <v>-4803</v>
      </c>
      <c r="U47" s="118"/>
      <c r="V47" s="155"/>
      <c r="W47" s="142" t="s">
        <v>514</v>
      </c>
      <c r="X47" s="66" t="s">
        <v>421</v>
      </c>
      <c r="Y47" s="128">
        <f t="shared" si="11"/>
        <v>0</v>
      </c>
      <c r="AA47" s="341">
        <v>0</v>
      </c>
      <c r="AB47" s="341">
        <v>0</v>
      </c>
      <c r="AC47" s="345">
        <v>0</v>
      </c>
      <c r="AD47" s="345">
        <v>0</v>
      </c>
      <c r="AE47" s="345">
        <v>0</v>
      </c>
      <c r="AF47" s="345">
        <v>0</v>
      </c>
      <c r="AG47" s="210">
        <f t="shared" si="12"/>
        <v>0</v>
      </c>
      <c r="AH47" s="207" t="str">
        <f t="shared" si="13"/>
        <v>OK</v>
      </c>
    </row>
    <row r="48" spans="1:34" ht="31.5" customHeight="1">
      <c r="A48" s="66">
        <v>38</v>
      </c>
      <c r="B48" s="89"/>
      <c r="C48" s="90" t="s">
        <v>149</v>
      </c>
      <c r="D48" s="50" t="s">
        <v>150</v>
      </c>
      <c r="E48" s="50" t="s">
        <v>151</v>
      </c>
      <c r="F48" s="132">
        <v>985807</v>
      </c>
      <c r="G48" s="132">
        <v>985807</v>
      </c>
      <c r="H48" s="318">
        <v>477303</v>
      </c>
      <c r="I48" s="318">
        <v>95461</v>
      </c>
      <c r="J48" s="318">
        <v>409900</v>
      </c>
      <c r="K48" s="318">
        <v>3143</v>
      </c>
      <c r="L48" s="132">
        <v>1121509</v>
      </c>
      <c r="M48" s="176">
        <f>F48*0.5</f>
        <v>492903.5</v>
      </c>
      <c r="N48" s="33">
        <f t="shared" si="16"/>
        <v>-492902</v>
      </c>
      <c r="O48" s="32">
        <v>1311572</v>
      </c>
      <c r="P48" s="118"/>
      <c r="Q48" s="34">
        <v>-238651</v>
      </c>
      <c r="R48" s="35">
        <v>-47730</v>
      </c>
      <c r="S48" s="35">
        <v>-204950</v>
      </c>
      <c r="T48" s="27">
        <v>-1571</v>
      </c>
      <c r="U48" s="118"/>
      <c r="V48" s="155"/>
      <c r="W48" s="142" t="s">
        <v>78</v>
      </c>
      <c r="X48" s="66" t="s">
        <v>421</v>
      </c>
      <c r="Y48" s="128">
        <f t="shared" si="11"/>
        <v>0</v>
      </c>
      <c r="AA48" s="341">
        <v>-47730</v>
      </c>
      <c r="AB48" s="341">
        <v>0</v>
      </c>
      <c r="AC48" s="341">
        <v>0</v>
      </c>
      <c r="AD48" s="341">
        <v>0</v>
      </c>
      <c r="AE48" s="341">
        <v>0</v>
      </c>
      <c r="AF48" s="341">
        <v>0</v>
      </c>
      <c r="AG48" s="210">
        <f t="shared" si="12"/>
        <v>-47730</v>
      </c>
      <c r="AH48" s="207" t="str">
        <f t="shared" si="13"/>
        <v>OK</v>
      </c>
    </row>
    <row r="49" spans="1:34" ht="31.5" customHeight="1">
      <c r="A49" s="66">
        <v>39</v>
      </c>
      <c r="B49" s="89"/>
      <c r="C49" s="92"/>
      <c r="D49" s="50" t="s">
        <v>150</v>
      </c>
      <c r="E49" s="50" t="s">
        <v>152</v>
      </c>
      <c r="F49" s="132">
        <f>1486113-F48</f>
        <v>500306</v>
      </c>
      <c r="G49" s="132">
        <f>1486113-G48</f>
        <v>500306</v>
      </c>
      <c r="H49" s="318">
        <v>267907</v>
      </c>
      <c r="I49" s="318">
        <v>706</v>
      </c>
      <c r="J49" s="318">
        <v>177900</v>
      </c>
      <c r="K49" s="318">
        <v>53793</v>
      </c>
      <c r="L49" s="132">
        <v>669868</v>
      </c>
      <c r="M49" s="176">
        <f>F49*0.3</f>
        <v>150091.8</v>
      </c>
      <c r="N49" s="33">
        <f t="shared" si="16"/>
        <v>-150092</v>
      </c>
      <c r="O49" s="32">
        <v>588633</v>
      </c>
      <c r="P49" s="118"/>
      <c r="Q49" s="34">
        <v>-80372</v>
      </c>
      <c r="R49" s="35">
        <v>-212</v>
      </c>
      <c r="S49" s="35">
        <v>-53370</v>
      </c>
      <c r="T49" s="27">
        <v>-16138</v>
      </c>
      <c r="U49" s="118"/>
      <c r="V49" s="155"/>
      <c r="W49" s="142" t="s">
        <v>516</v>
      </c>
      <c r="X49" s="66" t="s">
        <v>421</v>
      </c>
      <c r="Y49" s="128">
        <f t="shared" si="11"/>
        <v>0</v>
      </c>
      <c r="AA49" s="62">
        <v>0</v>
      </c>
      <c r="AB49" s="25">
        <v>0</v>
      </c>
      <c r="AC49" s="25">
        <v>-100</v>
      </c>
      <c r="AD49" s="25">
        <v>0</v>
      </c>
      <c r="AE49" s="25">
        <v>0</v>
      </c>
      <c r="AF49" s="25">
        <v>-112</v>
      </c>
      <c r="AG49" s="210">
        <f t="shared" si="12"/>
        <v>-212</v>
      </c>
      <c r="AH49" s="207" t="str">
        <f t="shared" si="13"/>
        <v>OK</v>
      </c>
    </row>
    <row r="50" spans="1:34" ht="45.75" customHeight="1" thickBot="1">
      <c r="A50" s="66">
        <v>40</v>
      </c>
      <c r="B50" s="89"/>
      <c r="C50" s="93" t="s">
        <v>153</v>
      </c>
      <c r="D50" s="50" t="s">
        <v>154</v>
      </c>
      <c r="E50" s="50"/>
      <c r="F50" s="132">
        <v>1666558</v>
      </c>
      <c r="G50" s="132">
        <v>1666558</v>
      </c>
      <c r="H50" s="318">
        <v>862447</v>
      </c>
      <c r="I50" s="318">
        <v>59455</v>
      </c>
      <c r="J50" s="318">
        <v>734100</v>
      </c>
      <c r="K50" s="318">
        <v>10556</v>
      </c>
      <c r="L50" s="132">
        <v>2200560</v>
      </c>
      <c r="M50" s="176">
        <f>F50*0.3</f>
        <v>499967.39999999997</v>
      </c>
      <c r="N50" s="33">
        <f t="shared" si="16"/>
        <v>-499967</v>
      </c>
      <c r="O50" s="32">
        <v>486535</v>
      </c>
      <c r="P50" s="118"/>
      <c r="Q50" s="34">
        <v>-258734</v>
      </c>
      <c r="R50" s="35">
        <v>-17836</v>
      </c>
      <c r="S50" s="35">
        <v>-220230</v>
      </c>
      <c r="T50" s="27">
        <v>-3167</v>
      </c>
      <c r="U50" s="118"/>
      <c r="V50" s="155"/>
      <c r="W50" s="142" t="s">
        <v>517</v>
      </c>
      <c r="X50" s="66" t="s">
        <v>421</v>
      </c>
      <c r="Y50" s="128">
        <f t="shared" si="11"/>
        <v>0</v>
      </c>
      <c r="AA50" s="62">
        <v>-17836</v>
      </c>
      <c r="AB50" s="25">
        <v>0</v>
      </c>
      <c r="AC50" s="25">
        <v>0</v>
      </c>
      <c r="AD50" s="25">
        <v>0</v>
      </c>
      <c r="AE50" s="25">
        <v>0</v>
      </c>
      <c r="AF50" s="25">
        <v>0</v>
      </c>
      <c r="AG50" s="210">
        <f t="shared" si="12"/>
        <v>-17836</v>
      </c>
      <c r="AH50" s="207" t="str">
        <f t="shared" si="13"/>
        <v>OK</v>
      </c>
    </row>
    <row r="51" spans="2:34" ht="31.5" customHeight="1" thickBot="1">
      <c r="B51" s="95"/>
      <c r="C51" s="69"/>
      <c r="D51" s="57"/>
      <c r="E51" s="57" t="s">
        <v>403</v>
      </c>
      <c r="F51" s="103">
        <f>SUM(F42:F50)</f>
        <v>21771064</v>
      </c>
      <c r="G51" s="103">
        <f aca="true" t="shared" si="17" ref="G51:T51">SUM(G42:G50)</f>
        <v>21023424</v>
      </c>
      <c r="H51" s="103">
        <f t="shared" si="17"/>
        <v>8896322</v>
      </c>
      <c r="I51" s="103">
        <f t="shared" si="17"/>
        <v>3607662</v>
      </c>
      <c r="J51" s="103">
        <f t="shared" si="17"/>
        <v>4556800</v>
      </c>
      <c r="K51" s="103">
        <f t="shared" si="17"/>
        <v>3962640</v>
      </c>
      <c r="L51" s="103">
        <f t="shared" si="17"/>
        <v>23772005</v>
      </c>
      <c r="M51" s="121">
        <f t="shared" si="17"/>
        <v>5078087.600000001</v>
      </c>
      <c r="N51" s="333">
        <f t="shared" si="17"/>
        <v>-7251826</v>
      </c>
      <c r="O51" s="58">
        <f t="shared" si="17"/>
        <v>24588232</v>
      </c>
      <c r="P51" s="121">
        <f t="shared" si="17"/>
        <v>0</v>
      </c>
      <c r="Q51" s="338">
        <f t="shared" si="17"/>
        <v>-3475018</v>
      </c>
      <c r="R51" s="105">
        <f t="shared" si="17"/>
        <v>-1101390</v>
      </c>
      <c r="S51" s="105">
        <f t="shared" si="17"/>
        <v>-1449020</v>
      </c>
      <c r="T51" s="106">
        <f t="shared" si="17"/>
        <v>-1226398</v>
      </c>
      <c r="U51" s="121"/>
      <c r="V51" s="106"/>
      <c r="W51" s="144"/>
      <c r="Y51" s="128">
        <f t="shared" si="11"/>
        <v>0</v>
      </c>
      <c r="AA51" s="333">
        <f aca="true" t="shared" si="18" ref="AA51:AF51">SUM(AA42:AA50)</f>
        <v>-1097891</v>
      </c>
      <c r="AB51" s="333">
        <f t="shared" si="18"/>
        <v>0</v>
      </c>
      <c r="AC51" s="333">
        <f t="shared" si="18"/>
        <v>-100</v>
      </c>
      <c r="AD51" s="333">
        <f t="shared" si="18"/>
        <v>0</v>
      </c>
      <c r="AE51" s="333">
        <f t="shared" si="18"/>
        <v>0</v>
      </c>
      <c r="AF51" s="333">
        <f t="shared" si="18"/>
        <v>-3399</v>
      </c>
      <c r="AG51" s="210">
        <f t="shared" si="12"/>
        <v>-1101390</v>
      </c>
      <c r="AH51" s="207" t="str">
        <f t="shared" si="13"/>
        <v>OK</v>
      </c>
    </row>
    <row r="52" spans="1:34" ht="56.25" customHeight="1">
      <c r="A52" s="66">
        <v>41</v>
      </c>
      <c r="B52" s="88" t="s">
        <v>169</v>
      </c>
      <c r="C52" s="90" t="s">
        <v>170</v>
      </c>
      <c r="D52" s="50" t="s">
        <v>382</v>
      </c>
      <c r="E52" s="50" t="s">
        <v>779</v>
      </c>
      <c r="F52" s="132">
        <v>3139761</v>
      </c>
      <c r="G52" s="132"/>
      <c r="H52" s="132"/>
      <c r="I52" s="132"/>
      <c r="J52" s="132"/>
      <c r="K52" s="132"/>
      <c r="L52" s="132">
        <v>3294780</v>
      </c>
      <c r="M52" s="176">
        <f>F52*0.5</f>
        <v>1569880.5</v>
      </c>
      <c r="N52" s="33">
        <v>-1569000</v>
      </c>
      <c r="O52" s="32"/>
      <c r="P52" s="118"/>
      <c r="Q52" s="34"/>
      <c r="R52" s="35"/>
      <c r="S52" s="35"/>
      <c r="T52" s="27">
        <v>-1569000</v>
      </c>
      <c r="U52" s="118"/>
      <c r="V52" s="155"/>
      <c r="W52" s="142" t="s">
        <v>780</v>
      </c>
      <c r="X52" s="66" t="s">
        <v>421</v>
      </c>
      <c r="Y52" s="128">
        <f t="shared" si="11"/>
        <v>0</v>
      </c>
      <c r="AB52" s="25"/>
      <c r="AE52" s="25"/>
      <c r="AG52" s="210">
        <f t="shared" si="12"/>
        <v>0</v>
      </c>
      <c r="AH52" s="207" t="str">
        <f t="shared" si="13"/>
        <v>OK</v>
      </c>
    </row>
    <row r="53" spans="1:34" ht="38.25" customHeight="1">
      <c r="A53" s="66">
        <v>42</v>
      </c>
      <c r="B53" s="89"/>
      <c r="C53" s="93" t="s">
        <v>768</v>
      </c>
      <c r="D53" s="50" t="s">
        <v>383</v>
      </c>
      <c r="E53" s="50"/>
      <c r="F53" s="132">
        <v>321482</v>
      </c>
      <c r="G53" s="132">
        <v>321482</v>
      </c>
      <c r="H53" s="318"/>
      <c r="I53" s="318">
        <v>9809</v>
      </c>
      <c r="J53" s="318"/>
      <c r="K53" s="318">
        <v>311673</v>
      </c>
      <c r="L53" s="132">
        <v>796439</v>
      </c>
      <c r="M53" s="176">
        <f>F53*0.4</f>
        <v>128592.8</v>
      </c>
      <c r="N53" s="33">
        <f>Q53+R53+S53+T53</f>
        <v>-128593</v>
      </c>
      <c r="O53" s="32" t="s">
        <v>781</v>
      </c>
      <c r="P53" s="118"/>
      <c r="Q53" s="34">
        <v>0</v>
      </c>
      <c r="R53" s="35">
        <v>-3924</v>
      </c>
      <c r="S53" s="35">
        <v>0</v>
      </c>
      <c r="T53" s="27">
        <v>-124669</v>
      </c>
      <c r="U53" s="118"/>
      <c r="V53" s="155"/>
      <c r="W53" s="142" t="s">
        <v>43</v>
      </c>
      <c r="X53" s="66" t="s">
        <v>421</v>
      </c>
      <c r="Y53" s="128">
        <f t="shared" si="11"/>
        <v>0</v>
      </c>
      <c r="AA53" s="66">
        <v>0</v>
      </c>
      <c r="AB53" s="66">
        <v>-1962</v>
      </c>
      <c r="AC53" s="66">
        <v>0</v>
      </c>
      <c r="AD53" s="66">
        <v>0</v>
      </c>
      <c r="AE53" s="66">
        <v>0</v>
      </c>
      <c r="AF53" s="66">
        <v>-1962</v>
      </c>
      <c r="AG53" s="210">
        <f t="shared" si="12"/>
        <v>-3924</v>
      </c>
      <c r="AH53" s="207" t="str">
        <f t="shared" si="13"/>
        <v>OK</v>
      </c>
    </row>
    <row r="54" spans="1:34" ht="37.5" customHeight="1">
      <c r="A54" s="66">
        <v>43</v>
      </c>
      <c r="B54" s="89"/>
      <c r="C54" s="217" t="s">
        <v>31</v>
      </c>
      <c r="D54" s="38" t="s">
        <v>32</v>
      </c>
      <c r="E54" s="38" t="s">
        <v>743</v>
      </c>
      <c r="F54" s="131">
        <v>2517243</v>
      </c>
      <c r="G54" s="131"/>
      <c r="H54" s="131"/>
      <c r="I54" s="131"/>
      <c r="J54" s="131"/>
      <c r="K54" s="131"/>
      <c r="L54" s="131">
        <v>3012768</v>
      </c>
      <c r="M54" s="177"/>
      <c r="N54" s="26">
        <v>-2517243</v>
      </c>
      <c r="O54" s="46">
        <v>2758307</v>
      </c>
      <c r="P54" s="119"/>
      <c r="Q54" s="47"/>
      <c r="R54" s="48"/>
      <c r="S54" s="48"/>
      <c r="T54" s="49">
        <v>-2517243</v>
      </c>
      <c r="U54" s="119"/>
      <c r="V54" s="149"/>
      <c r="W54" s="129" t="s">
        <v>745</v>
      </c>
      <c r="X54" s="66" t="s">
        <v>752</v>
      </c>
      <c r="Y54" s="128">
        <f t="shared" si="11"/>
        <v>0</v>
      </c>
      <c r="AA54" s="25"/>
      <c r="AB54" s="156"/>
      <c r="AC54" s="25"/>
      <c r="AD54" s="25"/>
      <c r="AE54" s="25"/>
      <c r="AF54" s="25"/>
      <c r="AG54" s="210">
        <f t="shared" si="12"/>
        <v>0</v>
      </c>
      <c r="AH54" s="207" t="str">
        <f t="shared" si="13"/>
        <v>OK</v>
      </c>
    </row>
    <row r="55" spans="1:34" ht="50.25" customHeight="1">
      <c r="A55" s="66">
        <v>44</v>
      </c>
      <c r="B55" s="89"/>
      <c r="C55" s="91"/>
      <c r="D55" s="56" t="s">
        <v>32</v>
      </c>
      <c r="E55" s="56" t="s">
        <v>744</v>
      </c>
      <c r="F55" s="133">
        <v>56676</v>
      </c>
      <c r="G55" s="133"/>
      <c r="H55" s="133"/>
      <c r="I55" s="133"/>
      <c r="J55" s="133"/>
      <c r="K55" s="133"/>
      <c r="L55" s="133">
        <v>64394</v>
      </c>
      <c r="M55" s="107"/>
      <c r="N55" s="42">
        <v>-56676</v>
      </c>
      <c r="O55" s="41">
        <v>71671</v>
      </c>
      <c r="P55" s="62"/>
      <c r="Q55" s="43"/>
      <c r="R55" s="44"/>
      <c r="S55" s="44"/>
      <c r="T55" s="45">
        <v>-56676</v>
      </c>
      <c r="U55" s="62"/>
      <c r="V55" s="150"/>
      <c r="W55" s="143"/>
      <c r="X55" s="66" t="s">
        <v>421</v>
      </c>
      <c r="Y55" s="128">
        <f t="shared" si="11"/>
        <v>0</v>
      </c>
      <c r="AA55" s="25"/>
      <c r="AG55" s="210">
        <f t="shared" si="12"/>
        <v>0</v>
      </c>
      <c r="AH55" s="207" t="str">
        <f t="shared" si="13"/>
        <v>OK</v>
      </c>
    </row>
    <row r="56" spans="1:34" ht="50.25" customHeight="1" thickBot="1">
      <c r="A56" s="66">
        <v>45</v>
      </c>
      <c r="B56" s="89"/>
      <c r="C56" s="91"/>
      <c r="D56" s="38" t="s">
        <v>32</v>
      </c>
      <c r="E56" s="38" t="s">
        <v>195</v>
      </c>
      <c r="F56" s="131">
        <v>4073</v>
      </c>
      <c r="G56" s="131"/>
      <c r="H56" s="131"/>
      <c r="I56" s="131"/>
      <c r="J56" s="131"/>
      <c r="K56" s="131"/>
      <c r="L56" s="131">
        <v>4073</v>
      </c>
      <c r="M56" s="177"/>
      <c r="N56" s="26">
        <v>-4073</v>
      </c>
      <c r="O56" s="46">
        <v>4073</v>
      </c>
      <c r="P56" s="119"/>
      <c r="Q56" s="47"/>
      <c r="R56" s="48"/>
      <c r="S56" s="48"/>
      <c r="T56" s="49">
        <v>-4073</v>
      </c>
      <c r="U56" s="119"/>
      <c r="V56" s="149"/>
      <c r="W56" s="129"/>
      <c r="X56" s="66" t="s">
        <v>421</v>
      </c>
      <c r="Y56" s="128">
        <f t="shared" si="11"/>
        <v>0</v>
      </c>
      <c r="AA56" s="25"/>
      <c r="AB56" s="25"/>
      <c r="AC56" s="25"/>
      <c r="AD56" s="25"/>
      <c r="AE56" s="25"/>
      <c r="AF56" s="25"/>
      <c r="AG56" s="210">
        <f t="shared" si="12"/>
        <v>0</v>
      </c>
      <c r="AH56" s="207" t="str">
        <f t="shared" si="13"/>
        <v>OK</v>
      </c>
    </row>
    <row r="57" spans="1:34" ht="50.25" customHeight="1" thickBot="1">
      <c r="A57" s="66">
        <v>46</v>
      </c>
      <c r="B57" s="89"/>
      <c r="C57" s="91"/>
      <c r="D57" s="57" t="s">
        <v>32</v>
      </c>
      <c r="E57" s="57" t="s">
        <v>690</v>
      </c>
      <c r="F57" s="313">
        <v>1125</v>
      </c>
      <c r="G57" s="105"/>
      <c r="H57" s="105"/>
      <c r="I57" s="105"/>
      <c r="J57" s="105"/>
      <c r="K57" s="105"/>
      <c r="L57" s="105">
        <v>1144</v>
      </c>
      <c r="M57" s="105"/>
      <c r="N57" s="311">
        <v>-1125</v>
      </c>
      <c r="O57" s="58">
        <v>2818</v>
      </c>
      <c r="P57" s="97"/>
      <c r="Q57" s="97"/>
      <c r="R57" s="61"/>
      <c r="S57" s="61"/>
      <c r="T57" s="64">
        <v>-1125</v>
      </c>
      <c r="U57" s="68"/>
      <c r="V57" s="64"/>
      <c r="W57" s="144"/>
      <c r="X57" s="66" t="s">
        <v>421</v>
      </c>
      <c r="Y57" s="128">
        <f t="shared" si="11"/>
        <v>0</v>
      </c>
      <c r="AA57" s="342"/>
      <c r="AB57" s="342"/>
      <c r="AC57" s="342"/>
      <c r="AD57" s="342"/>
      <c r="AE57" s="342"/>
      <c r="AF57" s="342"/>
      <c r="AG57" s="210">
        <f t="shared" si="12"/>
        <v>0</v>
      </c>
      <c r="AH57" s="207" t="str">
        <f t="shared" si="13"/>
        <v>OK</v>
      </c>
    </row>
    <row r="58" spans="1:34" ht="50.25" customHeight="1">
      <c r="A58" s="66">
        <v>47</v>
      </c>
      <c r="B58" s="89"/>
      <c r="C58" s="91"/>
      <c r="D58" s="50" t="s">
        <v>32</v>
      </c>
      <c r="E58" s="50" t="s">
        <v>691</v>
      </c>
      <c r="F58" s="132">
        <v>1034</v>
      </c>
      <c r="G58" s="132"/>
      <c r="H58" s="132"/>
      <c r="I58" s="132"/>
      <c r="J58" s="132"/>
      <c r="K58" s="132"/>
      <c r="L58" s="132">
        <v>1194</v>
      </c>
      <c r="M58" s="176"/>
      <c r="N58" s="33">
        <v>-1034</v>
      </c>
      <c r="O58" s="32">
        <v>1194</v>
      </c>
      <c r="P58" s="118"/>
      <c r="Q58" s="118"/>
      <c r="R58" s="35"/>
      <c r="S58" s="35"/>
      <c r="T58" s="27">
        <v>-1034</v>
      </c>
      <c r="U58" s="118"/>
      <c r="V58" s="155"/>
      <c r="W58" s="142"/>
      <c r="X58" s="66" t="s">
        <v>421</v>
      </c>
      <c r="Y58" s="128">
        <f t="shared" si="11"/>
        <v>0</v>
      </c>
      <c r="AA58" s="25"/>
      <c r="AB58" s="25"/>
      <c r="AC58" s="25"/>
      <c r="AD58" s="25"/>
      <c r="AE58" s="25"/>
      <c r="AF58" s="25"/>
      <c r="AG58" s="210">
        <f t="shared" si="12"/>
        <v>0</v>
      </c>
      <c r="AH58" s="207" t="str">
        <f t="shared" si="13"/>
        <v>OK</v>
      </c>
    </row>
    <row r="59" spans="1:34" ht="50.25" customHeight="1" thickBot="1">
      <c r="A59" s="66">
        <v>48</v>
      </c>
      <c r="B59" s="243"/>
      <c r="C59" s="240"/>
      <c r="D59" s="50" t="s">
        <v>39</v>
      </c>
      <c r="E59" s="50" t="s">
        <v>33</v>
      </c>
      <c r="F59" s="132">
        <v>75700</v>
      </c>
      <c r="G59" s="132"/>
      <c r="H59" s="132"/>
      <c r="I59" s="132"/>
      <c r="J59" s="132"/>
      <c r="K59" s="132"/>
      <c r="L59" s="132">
        <v>131000</v>
      </c>
      <c r="M59" s="176">
        <f>F59*0.5</f>
        <v>37850</v>
      </c>
      <c r="N59" s="33">
        <v>-37000</v>
      </c>
      <c r="O59" s="32">
        <v>150000</v>
      </c>
      <c r="P59" s="118"/>
      <c r="Q59" s="34"/>
      <c r="R59" s="35"/>
      <c r="S59" s="35"/>
      <c r="T59" s="27">
        <v>-37000</v>
      </c>
      <c r="U59" s="118"/>
      <c r="V59" s="155"/>
      <c r="W59" s="142" t="s">
        <v>34</v>
      </c>
      <c r="X59" s="66" t="s">
        <v>421</v>
      </c>
      <c r="Y59" s="128">
        <f t="shared" si="11"/>
        <v>0</v>
      </c>
      <c r="AG59" s="210">
        <f t="shared" si="12"/>
        <v>0</v>
      </c>
      <c r="AH59" s="207" t="str">
        <f t="shared" si="13"/>
        <v>OK</v>
      </c>
    </row>
    <row r="60" spans="2:34" ht="31.5" customHeight="1" thickBot="1">
      <c r="B60" s="95"/>
      <c r="C60" s="69"/>
      <c r="D60" s="57"/>
      <c r="E60" s="57" t="s">
        <v>403</v>
      </c>
      <c r="F60" s="103">
        <f>SUM(F52:F59)</f>
        <v>6117094</v>
      </c>
      <c r="G60" s="103">
        <f aca="true" t="shared" si="19" ref="G60:T60">SUM(G52:G59)</f>
        <v>321482</v>
      </c>
      <c r="H60" s="103">
        <f t="shared" si="19"/>
        <v>0</v>
      </c>
      <c r="I60" s="103">
        <f t="shared" si="19"/>
        <v>9809</v>
      </c>
      <c r="J60" s="103">
        <f t="shared" si="19"/>
        <v>0</v>
      </c>
      <c r="K60" s="103">
        <f t="shared" si="19"/>
        <v>311673</v>
      </c>
      <c r="L60" s="103">
        <f t="shared" si="19"/>
        <v>7305792</v>
      </c>
      <c r="M60" s="121">
        <f t="shared" si="19"/>
        <v>1736323.3</v>
      </c>
      <c r="N60" s="333">
        <f t="shared" si="19"/>
        <v>-4314744</v>
      </c>
      <c r="O60" s="58">
        <f t="shared" si="19"/>
        <v>2988063</v>
      </c>
      <c r="P60" s="121">
        <f t="shared" si="19"/>
        <v>0</v>
      </c>
      <c r="Q60" s="338">
        <f t="shared" si="19"/>
        <v>0</v>
      </c>
      <c r="R60" s="105">
        <f t="shared" si="19"/>
        <v>-3924</v>
      </c>
      <c r="S60" s="105">
        <f t="shared" si="19"/>
        <v>0</v>
      </c>
      <c r="T60" s="106">
        <f t="shared" si="19"/>
        <v>-4310820</v>
      </c>
      <c r="U60" s="121"/>
      <c r="V60" s="106"/>
      <c r="W60" s="144"/>
      <c r="Y60" s="128">
        <f t="shared" si="11"/>
        <v>0</v>
      </c>
      <c r="AA60" s="333">
        <f aca="true" t="shared" si="20" ref="AA60:AF60">SUM(AA52:AA59)</f>
        <v>0</v>
      </c>
      <c r="AB60" s="333">
        <f t="shared" si="20"/>
        <v>-1962</v>
      </c>
      <c r="AC60" s="333">
        <f t="shared" si="20"/>
        <v>0</v>
      </c>
      <c r="AD60" s="333">
        <f t="shared" si="20"/>
        <v>0</v>
      </c>
      <c r="AE60" s="333">
        <f t="shared" si="20"/>
        <v>0</v>
      </c>
      <c r="AF60" s="333">
        <f t="shared" si="20"/>
        <v>-1962</v>
      </c>
      <c r="AG60" s="210">
        <f t="shared" si="12"/>
        <v>-3924</v>
      </c>
      <c r="AH60" s="207" t="str">
        <f t="shared" si="13"/>
        <v>OK</v>
      </c>
    </row>
    <row r="61" spans="1:34" ht="72.75" customHeight="1">
      <c r="A61" s="66">
        <v>49</v>
      </c>
      <c r="B61" s="89" t="s">
        <v>285</v>
      </c>
      <c r="C61" s="90" t="s">
        <v>392</v>
      </c>
      <c r="D61" s="50" t="s">
        <v>444</v>
      </c>
      <c r="E61" s="50"/>
      <c r="F61" s="132">
        <v>2479283</v>
      </c>
      <c r="G61" s="132"/>
      <c r="H61" s="132"/>
      <c r="I61" s="132"/>
      <c r="J61" s="132"/>
      <c r="K61" s="132"/>
      <c r="L61" s="132">
        <v>12433327</v>
      </c>
      <c r="M61" s="176">
        <f>F61*0.5</f>
        <v>1239641.5</v>
      </c>
      <c r="N61" s="33">
        <v>-1239000</v>
      </c>
      <c r="O61" s="32">
        <v>12403968</v>
      </c>
      <c r="P61" s="118"/>
      <c r="Q61" s="34"/>
      <c r="R61" s="35">
        <v>-1239000</v>
      </c>
      <c r="S61" s="35"/>
      <c r="T61" s="27"/>
      <c r="U61" s="118"/>
      <c r="V61" s="155"/>
      <c r="W61" s="142" t="s">
        <v>291</v>
      </c>
      <c r="X61" s="66" t="s">
        <v>421</v>
      </c>
      <c r="Y61" s="128">
        <f t="shared" si="11"/>
        <v>0</v>
      </c>
      <c r="AE61" s="62">
        <v>-1239000</v>
      </c>
      <c r="AG61" s="210">
        <f t="shared" si="12"/>
        <v>-1239000</v>
      </c>
      <c r="AH61" s="207" t="str">
        <f t="shared" si="13"/>
        <v>OK</v>
      </c>
    </row>
    <row r="62" spans="1:34" ht="50.25" customHeight="1">
      <c r="A62" s="66">
        <v>50</v>
      </c>
      <c r="B62" s="89"/>
      <c r="C62" s="90" t="s">
        <v>782</v>
      </c>
      <c r="D62" s="50" t="s">
        <v>712</v>
      </c>
      <c r="E62" s="50"/>
      <c r="F62" s="132">
        <v>289481</v>
      </c>
      <c r="G62" s="132"/>
      <c r="H62" s="132"/>
      <c r="I62" s="132">
        <v>24527</v>
      </c>
      <c r="J62" s="132"/>
      <c r="K62" s="132">
        <v>264954</v>
      </c>
      <c r="L62" s="132">
        <v>335722</v>
      </c>
      <c r="M62" s="176"/>
      <c r="N62" s="33">
        <f>Q62+R62+S62+T62</f>
        <v>-101318</v>
      </c>
      <c r="O62" s="32">
        <v>5774883</v>
      </c>
      <c r="P62" s="118"/>
      <c r="Q62" s="34">
        <v>0</v>
      </c>
      <c r="R62" s="35">
        <v>-8584</v>
      </c>
      <c r="S62" s="35">
        <v>0</v>
      </c>
      <c r="T62" s="27">
        <v>-92734</v>
      </c>
      <c r="U62" s="118"/>
      <c r="V62" s="155"/>
      <c r="W62" s="142" t="s">
        <v>354</v>
      </c>
      <c r="X62" s="66" t="s">
        <v>421</v>
      </c>
      <c r="Y62" s="128">
        <f t="shared" si="11"/>
        <v>0</v>
      </c>
      <c r="AA62" s="66">
        <v>-5434</v>
      </c>
      <c r="AF62" s="66">
        <v>-3150</v>
      </c>
      <c r="AG62" s="210">
        <f t="shared" si="12"/>
        <v>-8584</v>
      </c>
      <c r="AH62" s="207" t="str">
        <f t="shared" si="13"/>
        <v>OK</v>
      </c>
    </row>
    <row r="63" spans="1:34" ht="50.25" customHeight="1">
      <c r="A63" s="66">
        <v>51</v>
      </c>
      <c r="B63" s="89"/>
      <c r="C63" s="91"/>
      <c r="D63" s="50" t="s">
        <v>73</v>
      </c>
      <c r="E63" s="50" t="s">
        <v>76</v>
      </c>
      <c r="F63" s="132">
        <v>3827390</v>
      </c>
      <c r="G63" s="132"/>
      <c r="H63" s="132"/>
      <c r="I63" s="132"/>
      <c r="J63" s="132"/>
      <c r="K63" s="132"/>
      <c r="L63" s="132">
        <v>3827390</v>
      </c>
      <c r="M63" s="176"/>
      <c r="N63" s="33">
        <v>-3827390</v>
      </c>
      <c r="O63" s="32"/>
      <c r="P63" s="118"/>
      <c r="Q63" s="34"/>
      <c r="R63" s="35">
        <v>0</v>
      </c>
      <c r="S63" s="35">
        <v>-3827300</v>
      </c>
      <c r="T63" s="27">
        <v>-90</v>
      </c>
      <c r="U63" s="118"/>
      <c r="V63" s="155"/>
      <c r="W63" s="142" t="s">
        <v>74</v>
      </c>
      <c r="X63" s="66" t="s">
        <v>421</v>
      </c>
      <c r="Y63" s="128">
        <f t="shared" si="11"/>
        <v>0</v>
      </c>
      <c r="AA63" s="25"/>
      <c r="AB63" s="25"/>
      <c r="AC63" s="25"/>
      <c r="AD63" s="25"/>
      <c r="AF63" s="25"/>
      <c r="AG63" s="210">
        <f t="shared" si="12"/>
        <v>0</v>
      </c>
      <c r="AH63" s="207" t="str">
        <f t="shared" si="13"/>
        <v>OK</v>
      </c>
    </row>
    <row r="64" spans="1:34" ht="50.25" customHeight="1">
      <c r="A64" s="66">
        <v>52</v>
      </c>
      <c r="B64" s="89"/>
      <c r="C64" s="91"/>
      <c r="D64" s="50" t="s">
        <v>372</v>
      </c>
      <c r="E64" s="50" t="s">
        <v>520</v>
      </c>
      <c r="F64" s="132">
        <v>374000</v>
      </c>
      <c r="G64" s="132"/>
      <c r="H64" s="132"/>
      <c r="I64" s="132"/>
      <c r="J64" s="132"/>
      <c r="K64" s="132"/>
      <c r="L64" s="132">
        <v>480000</v>
      </c>
      <c r="M64" s="176"/>
      <c r="N64" s="33">
        <v>-374000</v>
      </c>
      <c r="O64" s="32">
        <v>210000</v>
      </c>
      <c r="P64" s="118"/>
      <c r="Q64" s="34"/>
      <c r="R64" s="35">
        <v>-374000</v>
      </c>
      <c r="S64" s="35"/>
      <c r="T64" s="27"/>
      <c r="U64" s="118"/>
      <c r="V64" s="155"/>
      <c r="W64" s="142" t="s">
        <v>36</v>
      </c>
      <c r="X64" s="66" t="s">
        <v>421</v>
      </c>
      <c r="Y64" s="128">
        <f t="shared" si="11"/>
        <v>0</v>
      </c>
      <c r="AA64" s="25"/>
      <c r="AF64" s="62">
        <v>-374000</v>
      </c>
      <c r="AG64" s="210">
        <f t="shared" si="12"/>
        <v>-374000</v>
      </c>
      <c r="AH64" s="207" t="str">
        <f t="shared" si="13"/>
        <v>OK</v>
      </c>
    </row>
    <row r="65" spans="1:34" ht="50.25" customHeight="1">
      <c r="A65" s="66">
        <v>53</v>
      </c>
      <c r="B65" s="89"/>
      <c r="C65" s="91"/>
      <c r="D65" s="50" t="s">
        <v>372</v>
      </c>
      <c r="E65" s="50" t="s">
        <v>372</v>
      </c>
      <c r="F65" s="132">
        <v>780</v>
      </c>
      <c r="G65" s="132"/>
      <c r="H65" s="132"/>
      <c r="I65" s="132"/>
      <c r="J65" s="132"/>
      <c r="K65" s="132"/>
      <c r="L65" s="132">
        <v>780</v>
      </c>
      <c r="M65" s="176"/>
      <c r="N65" s="33">
        <v>-780</v>
      </c>
      <c r="O65" s="32">
        <v>780</v>
      </c>
      <c r="P65" s="118"/>
      <c r="Q65" s="34"/>
      <c r="R65" s="35"/>
      <c r="S65" s="35"/>
      <c r="T65" s="27">
        <v>-780</v>
      </c>
      <c r="U65" s="118"/>
      <c r="V65" s="155"/>
      <c r="W65" s="142"/>
      <c r="X65" s="66" t="s">
        <v>421</v>
      </c>
      <c r="Y65" s="128">
        <f t="shared" si="11"/>
        <v>0</v>
      </c>
      <c r="AA65" s="25"/>
      <c r="AE65" s="25"/>
      <c r="AG65" s="210">
        <f t="shared" si="12"/>
        <v>0</v>
      </c>
      <c r="AH65" s="207" t="str">
        <f t="shared" si="13"/>
        <v>OK</v>
      </c>
    </row>
    <row r="66" spans="1:34" ht="50.25" customHeight="1">
      <c r="A66" s="66">
        <v>54</v>
      </c>
      <c r="B66" s="89"/>
      <c r="C66" s="91"/>
      <c r="D66" s="51" t="s">
        <v>372</v>
      </c>
      <c r="E66" s="50" t="s">
        <v>519</v>
      </c>
      <c r="F66" s="132">
        <v>10000</v>
      </c>
      <c r="G66" s="132"/>
      <c r="H66" s="132"/>
      <c r="I66" s="132"/>
      <c r="J66" s="132"/>
      <c r="K66" s="132"/>
      <c r="L66" s="132"/>
      <c r="M66" s="176"/>
      <c r="N66" s="33">
        <v>-10000</v>
      </c>
      <c r="O66" s="32"/>
      <c r="P66" s="118"/>
      <c r="Q66" s="34"/>
      <c r="R66" s="35"/>
      <c r="S66" s="35"/>
      <c r="T66" s="27">
        <v>-10000</v>
      </c>
      <c r="U66" s="118"/>
      <c r="V66" s="155"/>
      <c r="W66" s="142"/>
      <c r="X66" s="66" t="s">
        <v>421</v>
      </c>
      <c r="Y66" s="128">
        <f t="shared" si="11"/>
        <v>0</v>
      </c>
      <c r="AA66" s="25"/>
      <c r="AE66" s="25"/>
      <c r="AG66" s="210">
        <f t="shared" si="12"/>
        <v>0</v>
      </c>
      <c r="AH66" s="207" t="str">
        <f t="shared" si="13"/>
        <v>OK</v>
      </c>
    </row>
    <row r="67" spans="1:34" ht="50.25" customHeight="1">
      <c r="A67" s="66">
        <v>55</v>
      </c>
      <c r="B67" s="89"/>
      <c r="C67" s="91"/>
      <c r="D67" s="51" t="s">
        <v>202</v>
      </c>
      <c r="E67" s="50" t="s">
        <v>203</v>
      </c>
      <c r="F67" s="132">
        <v>124800</v>
      </c>
      <c r="G67" s="132">
        <v>124800</v>
      </c>
      <c r="H67" s="318">
        <v>0</v>
      </c>
      <c r="I67" s="318">
        <v>0</v>
      </c>
      <c r="J67" s="318">
        <v>0</v>
      </c>
      <c r="K67" s="330">
        <f>G67-H67-I67-J67</f>
        <v>124800</v>
      </c>
      <c r="L67" s="132">
        <v>128060</v>
      </c>
      <c r="M67" s="176"/>
      <c r="N67" s="33">
        <f>Q67+R67+S67+T67</f>
        <v>-124800</v>
      </c>
      <c r="O67" s="32">
        <v>145800</v>
      </c>
      <c r="P67" s="118"/>
      <c r="Q67" s="34"/>
      <c r="R67" s="35"/>
      <c r="S67" s="35"/>
      <c r="T67" s="27">
        <v>-124800</v>
      </c>
      <c r="U67" s="118"/>
      <c r="V67" s="155"/>
      <c r="W67" s="142" t="s">
        <v>757</v>
      </c>
      <c r="X67" s="66" t="s">
        <v>421</v>
      </c>
      <c r="Y67" s="128">
        <f t="shared" si="11"/>
        <v>0</v>
      </c>
      <c r="AA67" s="25"/>
      <c r="AB67" s="25"/>
      <c r="AC67" s="25"/>
      <c r="AD67" s="25"/>
      <c r="AE67" s="25"/>
      <c r="AF67" s="25"/>
      <c r="AG67" s="210">
        <f t="shared" si="12"/>
        <v>0</v>
      </c>
      <c r="AH67" s="207" t="str">
        <f t="shared" si="13"/>
        <v>OK</v>
      </c>
    </row>
    <row r="68" spans="1:34" ht="50.25" customHeight="1" thickBot="1">
      <c r="A68" s="66">
        <v>56</v>
      </c>
      <c r="B68" s="89"/>
      <c r="C68" s="91"/>
      <c r="D68" s="38" t="s">
        <v>202</v>
      </c>
      <c r="E68" s="38" t="s">
        <v>417</v>
      </c>
      <c r="F68" s="131">
        <v>234300</v>
      </c>
      <c r="G68" s="131">
        <v>234300</v>
      </c>
      <c r="H68" s="314">
        <v>0</v>
      </c>
      <c r="I68" s="314">
        <v>0</v>
      </c>
      <c r="J68" s="314">
        <v>0</v>
      </c>
      <c r="K68" s="326">
        <f>G68-H68-I68-J68</f>
        <v>234300</v>
      </c>
      <c r="L68" s="131">
        <v>242500</v>
      </c>
      <c r="M68" s="177"/>
      <c r="N68" s="26">
        <f>Q68+R68+S68+T68</f>
        <v>-234300</v>
      </c>
      <c r="O68" s="46"/>
      <c r="P68" s="119"/>
      <c r="Q68" s="47"/>
      <c r="R68" s="47"/>
      <c r="S68" s="47"/>
      <c r="T68" s="49">
        <v>-234300</v>
      </c>
      <c r="U68" s="119"/>
      <c r="V68" s="149"/>
      <c r="W68" s="129" t="s">
        <v>757</v>
      </c>
      <c r="X68" s="66" t="s">
        <v>421</v>
      </c>
      <c r="Y68" s="128">
        <f t="shared" si="11"/>
        <v>0</v>
      </c>
      <c r="AA68" s="25"/>
      <c r="AE68" s="25"/>
      <c r="AG68" s="210">
        <f t="shared" si="12"/>
        <v>0</v>
      </c>
      <c r="AH68" s="207" t="str">
        <f t="shared" si="13"/>
        <v>OK</v>
      </c>
    </row>
    <row r="69" spans="1:34" ht="50.25" customHeight="1" thickBot="1">
      <c r="A69" s="66">
        <v>57</v>
      </c>
      <c r="B69" s="89"/>
      <c r="C69" s="91"/>
      <c r="D69" s="50" t="s">
        <v>783</v>
      </c>
      <c r="E69" s="50" t="s">
        <v>784</v>
      </c>
      <c r="F69" s="365">
        <v>20000</v>
      </c>
      <c r="G69" s="239"/>
      <c r="H69" s="239"/>
      <c r="I69" s="239"/>
      <c r="J69" s="239"/>
      <c r="K69" s="239"/>
      <c r="L69" s="184">
        <v>30000</v>
      </c>
      <c r="M69" s="184"/>
      <c r="N69" s="366">
        <v>-20000</v>
      </c>
      <c r="O69" s="32"/>
      <c r="P69" s="118"/>
      <c r="Q69" s="34"/>
      <c r="R69" s="34"/>
      <c r="S69" s="34"/>
      <c r="T69" s="155">
        <v>-20000</v>
      </c>
      <c r="U69" s="118"/>
      <c r="V69" s="155"/>
      <c r="W69" s="142" t="s">
        <v>521</v>
      </c>
      <c r="X69" s="66" t="s">
        <v>421</v>
      </c>
      <c r="Y69" s="128">
        <f t="shared" si="11"/>
        <v>0</v>
      </c>
      <c r="AA69" s="342"/>
      <c r="AB69" s="342"/>
      <c r="AC69" s="342"/>
      <c r="AD69" s="342"/>
      <c r="AE69" s="342"/>
      <c r="AF69" s="342"/>
      <c r="AG69" s="210">
        <f t="shared" si="12"/>
        <v>0</v>
      </c>
      <c r="AH69" s="207" t="str">
        <f t="shared" si="13"/>
        <v>OK</v>
      </c>
    </row>
    <row r="70" spans="1:34" ht="50.25" customHeight="1">
      <c r="A70" s="66">
        <v>58</v>
      </c>
      <c r="B70" s="89"/>
      <c r="C70" s="92"/>
      <c r="D70" s="50" t="s">
        <v>204</v>
      </c>
      <c r="E70" s="50" t="s">
        <v>205</v>
      </c>
      <c r="F70" s="132">
        <v>5108431</v>
      </c>
      <c r="G70" s="132">
        <v>5108431</v>
      </c>
      <c r="H70" s="318">
        <v>864004</v>
      </c>
      <c r="I70" s="318">
        <v>34731</v>
      </c>
      <c r="J70" s="318">
        <v>4044900</v>
      </c>
      <c r="K70" s="330">
        <f>G70-H70-I70-J70</f>
        <v>164796</v>
      </c>
      <c r="L70" s="132">
        <v>5960244</v>
      </c>
      <c r="M70" s="176">
        <f>F70*0.5</f>
        <v>2554215.5</v>
      </c>
      <c r="N70" s="33">
        <f>Q70+R70+S70+T70</f>
        <v>-2554215</v>
      </c>
      <c r="O70" s="32">
        <v>5774883</v>
      </c>
      <c r="P70" s="118"/>
      <c r="Q70" s="34">
        <v>-432002</v>
      </c>
      <c r="R70" s="34">
        <v>-17365</v>
      </c>
      <c r="S70" s="34">
        <v>-2022450</v>
      </c>
      <c r="T70" s="27">
        <v>-82398</v>
      </c>
      <c r="U70" s="118"/>
      <c r="V70" s="155"/>
      <c r="W70" s="142" t="s">
        <v>291</v>
      </c>
      <c r="X70" s="66" t="s">
        <v>421</v>
      </c>
      <c r="Y70" s="128">
        <f aca="true" t="shared" si="21" ref="Y70:Y101">N70-Q70-R70-S70-T70</f>
        <v>0</v>
      </c>
      <c r="AA70" s="341">
        <v>-17365</v>
      </c>
      <c r="AB70" s="341">
        <v>0</v>
      </c>
      <c r="AC70" s="341">
        <v>0</v>
      </c>
      <c r="AD70" s="341">
        <v>0</v>
      </c>
      <c r="AE70" s="341">
        <v>0</v>
      </c>
      <c r="AF70" s="341">
        <v>0</v>
      </c>
      <c r="AG70" s="210">
        <f aca="true" t="shared" si="22" ref="AG70:AG101">SUM(AA70:AF70)</f>
        <v>-17365</v>
      </c>
      <c r="AH70" s="207" t="str">
        <f aca="true" t="shared" si="23" ref="AH70:AH101">IF(R70=AG70,"OK","OUT")</f>
        <v>OK</v>
      </c>
    </row>
    <row r="71" spans="1:34" ht="77.25" customHeight="1">
      <c r="A71" s="66">
        <v>59</v>
      </c>
      <c r="B71" s="89"/>
      <c r="C71" s="90" t="s">
        <v>206</v>
      </c>
      <c r="D71" s="50" t="s">
        <v>207</v>
      </c>
      <c r="E71" s="50" t="s">
        <v>208</v>
      </c>
      <c r="F71" s="132">
        <v>15402371</v>
      </c>
      <c r="G71" s="132">
        <v>15402371</v>
      </c>
      <c r="H71" s="318">
        <v>7940765</v>
      </c>
      <c r="I71" s="318">
        <v>560491</v>
      </c>
      <c r="J71" s="318">
        <v>6895500</v>
      </c>
      <c r="K71" s="330">
        <f>G71-H71-I71-J71</f>
        <v>5615</v>
      </c>
      <c r="L71" s="132">
        <v>17330158</v>
      </c>
      <c r="M71" s="176">
        <f>F71*0.5</f>
        <v>7701185.5</v>
      </c>
      <c r="N71" s="33">
        <f>Q71+R71+S71+T71</f>
        <v>-7701184</v>
      </c>
      <c r="O71" s="32">
        <v>5774883</v>
      </c>
      <c r="P71" s="118"/>
      <c r="Q71" s="34">
        <v>-3970382</v>
      </c>
      <c r="R71" s="35">
        <v>-280245</v>
      </c>
      <c r="S71" s="35">
        <v>-3447750</v>
      </c>
      <c r="T71" s="27">
        <v>-2807</v>
      </c>
      <c r="U71" s="118"/>
      <c r="V71" s="155"/>
      <c r="W71" s="142" t="s">
        <v>711</v>
      </c>
      <c r="X71" s="66" t="s">
        <v>421</v>
      </c>
      <c r="Y71" s="128">
        <f t="shared" si="21"/>
        <v>0</v>
      </c>
      <c r="AA71" s="341">
        <v>-280245</v>
      </c>
      <c r="AB71" s="341">
        <v>0</v>
      </c>
      <c r="AC71" s="341">
        <v>0</v>
      </c>
      <c r="AD71" s="341">
        <v>0</v>
      </c>
      <c r="AE71" s="341">
        <v>0</v>
      </c>
      <c r="AF71" s="341">
        <v>0</v>
      </c>
      <c r="AG71" s="210">
        <f t="shared" si="22"/>
        <v>-280245</v>
      </c>
      <c r="AH71" s="207" t="str">
        <f t="shared" si="23"/>
        <v>OK</v>
      </c>
    </row>
    <row r="72" spans="1:34" ht="50.25" customHeight="1">
      <c r="A72" s="66">
        <v>60</v>
      </c>
      <c r="B72" s="89"/>
      <c r="C72" s="91"/>
      <c r="D72" s="51" t="s">
        <v>408</v>
      </c>
      <c r="E72" s="50" t="s">
        <v>209</v>
      </c>
      <c r="F72" s="132">
        <v>9483309</v>
      </c>
      <c r="G72" s="132">
        <v>9483309</v>
      </c>
      <c r="H72" s="318">
        <v>5052405</v>
      </c>
      <c r="I72" s="318">
        <v>29809</v>
      </c>
      <c r="J72" s="318">
        <v>4398000</v>
      </c>
      <c r="K72" s="330">
        <f>G72-H72-I72-J72</f>
        <v>3095</v>
      </c>
      <c r="L72" s="132">
        <v>9663876</v>
      </c>
      <c r="M72" s="176">
        <f>F72*0.35</f>
        <v>3319158.15</v>
      </c>
      <c r="N72" s="33">
        <f>Q72+R72+S72+T72</f>
        <v>-3319158</v>
      </c>
      <c r="O72" s="32">
        <v>5774883</v>
      </c>
      <c r="P72" s="118"/>
      <c r="Q72" s="34">
        <v>-1768342</v>
      </c>
      <c r="R72" s="35">
        <v>-10433</v>
      </c>
      <c r="S72" s="35">
        <v>-1539300</v>
      </c>
      <c r="T72" s="27">
        <v>-1083</v>
      </c>
      <c r="U72" s="118"/>
      <c r="V72" s="155"/>
      <c r="W72" s="142" t="s">
        <v>292</v>
      </c>
      <c r="X72" s="66" t="s">
        <v>421</v>
      </c>
      <c r="Y72" s="128">
        <f t="shared" si="21"/>
        <v>0</v>
      </c>
      <c r="AA72" s="341">
        <v>-10433</v>
      </c>
      <c r="AB72" s="341">
        <v>0</v>
      </c>
      <c r="AC72" s="341">
        <v>0</v>
      </c>
      <c r="AD72" s="341">
        <v>0</v>
      </c>
      <c r="AE72" s="341">
        <v>0</v>
      </c>
      <c r="AF72" s="341">
        <v>0</v>
      </c>
      <c r="AG72" s="210">
        <f t="shared" si="22"/>
        <v>-10433</v>
      </c>
      <c r="AH72" s="207" t="str">
        <f t="shared" si="23"/>
        <v>OK</v>
      </c>
    </row>
    <row r="73" spans="1:34" ht="50.25" customHeight="1">
      <c r="A73" s="66">
        <v>61</v>
      </c>
      <c r="B73" s="89"/>
      <c r="C73" s="91"/>
      <c r="D73" s="51" t="s">
        <v>409</v>
      </c>
      <c r="E73" s="50" t="s">
        <v>410</v>
      </c>
      <c r="F73" s="132">
        <v>11265433</v>
      </c>
      <c r="G73" s="132">
        <v>11265433</v>
      </c>
      <c r="H73" s="318">
        <v>0</v>
      </c>
      <c r="I73" s="318">
        <v>20000</v>
      </c>
      <c r="J73" s="318">
        <v>11239000</v>
      </c>
      <c r="K73" s="330">
        <f>G73-H73-I73-J73</f>
        <v>6433</v>
      </c>
      <c r="L73" s="132">
        <v>13247994</v>
      </c>
      <c r="M73" s="176">
        <f>F73*0.235</f>
        <v>2647376.755</v>
      </c>
      <c r="N73" s="33">
        <f>Q73+R73+S73+T73</f>
        <v>-3942901</v>
      </c>
      <c r="O73" s="32">
        <v>5774883</v>
      </c>
      <c r="P73" s="118"/>
      <c r="Q73" s="34">
        <v>0</v>
      </c>
      <c r="R73" s="35">
        <v>-7000</v>
      </c>
      <c r="S73" s="35">
        <v>-3933650</v>
      </c>
      <c r="T73" s="27">
        <v>-2251</v>
      </c>
      <c r="U73" s="118"/>
      <c r="V73" s="155"/>
      <c r="W73" s="142" t="s">
        <v>292</v>
      </c>
      <c r="X73" s="66" t="s">
        <v>421</v>
      </c>
      <c r="Y73" s="128">
        <f t="shared" si="21"/>
        <v>0</v>
      </c>
      <c r="AA73" s="341">
        <v>-7000</v>
      </c>
      <c r="AB73" s="341">
        <v>0</v>
      </c>
      <c r="AC73" s="341">
        <v>0</v>
      </c>
      <c r="AD73" s="341">
        <v>0</v>
      </c>
      <c r="AE73" s="341">
        <v>0</v>
      </c>
      <c r="AF73" s="341">
        <v>0</v>
      </c>
      <c r="AG73" s="210">
        <f t="shared" si="22"/>
        <v>-7000</v>
      </c>
      <c r="AH73" s="207" t="str">
        <f t="shared" si="23"/>
        <v>OK</v>
      </c>
    </row>
    <row r="74" spans="1:34" ht="57.75" customHeight="1">
      <c r="A74" s="66">
        <v>62</v>
      </c>
      <c r="B74" s="89"/>
      <c r="C74" s="92"/>
      <c r="D74" s="51" t="s">
        <v>411</v>
      </c>
      <c r="E74" s="50" t="s">
        <v>210</v>
      </c>
      <c r="F74" s="132">
        <v>12665000</v>
      </c>
      <c r="G74" s="317"/>
      <c r="H74" s="317"/>
      <c r="I74" s="317"/>
      <c r="J74" s="317"/>
      <c r="K74" s="317"/>
      <c r="L74" s="132">
        <v>13141327</v>
      </c>
      <c r="M74" s="176"/>
      <c r="N74" s="33">
        <v>-12665000</v>
      </c>
      <c r="O74" s="32">
        <v>15758834</v>
      </c>
      <c r="P74" s="118"/>
      <c r="Q74" s="34"/>
      <c r="R74" s="35"/>
      <c r="S74" s="35">
        <v>-12661000</v>
      </c>
      <c r="T74" s="27">
        <v>-4000</v>
      </c>
      <c r="U74" s="118"/>
      <c r="V74" s="155"/>
      <c r="W74" s="142" t="s">
        <v>77</v>
      </c>
      <c r="X74" s="66" t="s">
        <v>421</v>
      </c>
      <c r="Y74" s="128">
        <f t="shared" si="21"/>
        <v>0</v>
      </c>
      <c r="AA74" s="341"/>
      <c r="AB74" s="341"/>
      <c r="AC74" s="341"/>
      <c r="AD74" s="341"/>
      <c r="AE74" s="341"/>
      <c r="AF74" s="341"/>
      <c r="AG74" s="210">
        <f t="shared" si="22"/>
        <v>0</v>
      </c>
      <c r="AH74" s="207" t="str">
        <f t="shared" si="23"/>
        <v>OK</v>
      </c>
    </row>
    <row r="75" spans="1:34" ht="50.25" customHeight="1" thickBot="1">
      <c r="A75" s="66">
        <v>63</v>
      </c>
      <c r="B75" s="89"/>
      <c r="C75" s="92" t="s">
        <v>526</v>
      </c>
      <c r="D75" s="38" t="s">
        <v>785</v>
      </c>
      <c r="E75" s="50"/>
      <c r="F75" s="132">
        <v>346511</v>
      </c>
      <c r="G75" s="132">
        <v>346511</v>
      </c>
      <c r="H75" s="318">
        <v>0</v>
      </c>
      <c r="I75" s="318">
        <v>88471</v>
      </c>
      <c r="J75" s="318">
        <v>0</v>
      </c>
      <c r="K75" s="330">
        <f>G75-H75-I75-J75</f>
        <v>258040</v>
      </c>
      <c r="L75" s="132">
        <v>377660</v>
      </c>
      <c r="M75" s="176">
        <f>F75*0.35</f>
        <v>121278.84999999999</v>
      </c>
      <c r="N75" s="33">
        <f>Q75+R75+S75+T75</f>
        <v>-121279</v>
      </c>
      <c r="O75" s="32">
        <v>5774883</v>
      </c>
      <c r="P75" s="118"/>
      <c r="Q75" s="34">
        <v>0</v>
      </c>
      <c r="R75" s="35">
        <v>-30965</v>
      </c>
      <c r="S75" s="35">
        <v>0</v>
      </c>
      <c r="T75" s="27">
        <v>-90314</v>
      </c>
      <c r="U75" s="118"/>
      <c r="V75" s="149"/>
      <c r="W75" s="129" t="s">
        <v>525</v>
      </c>
      <c r="X75" s="66" t="s">
        <v>421</v>
      </c>
      <c r="Y75" s="128">
        <f t="shared" si="21"/>
        <v>0</v>
      </c>
      <c r="AA75" s="341">
        <v>-30965</v>
      </c>
      <c r="AB75" s="341">
        <v>0</v>
      </c>
      <c r="AC75" s="341">
        <v>0</v>
      </c>
      <c r="AD75" s="341">
        <v>0</v>
      </c>
      <c r="AE75" s="341">
        <v>0</v>
      </c>
      <c r="AF75" s="341">
        <v>0</v>
      </c>
      <c r="AG75" s="210">
        <f t="shared" si="22"/>
        <v>-30965</v>
      </c>
      <c r="AH75" s="207" t="str">
        <f t="shared" si="23"/>
        <v>OK</v>
      </c>
    </row>
    <row r="76" spans="1:34" ht="50.25" customHeight="1" thickBot="1">
      <c r="A76" s="66">
        <v>64</v>
      </c>
      <c r="B76" s="89"/>
      <c r="C76" s="90" t="s">
        <v>527</v>
      </c>
      <c r="D76" s="50" t="s">
        <v>211</v>
      </c>
      <c r="E76" s="50" t="s">
        <v>212</v>
      </c>
      <c r="F76" s="132">
        <v>1658350</v>
      </c>
      <c r="G76" s="132">
        <v>1658350</v>
      </c>
      <c r="H76" s="318">
        <v>811170</v>
      </c>
      <c r="I76" s="318">
        <v>36010</v>
      </c>
      <c r="J76" s="318">
        <v>806500</v>
      </c>
      <c r="K76" s="330">
        <f>G76-H76-I76-J76</f>
        <v>4670</v>
      </c>
      <c r="L76" s="132">
        <v>2846000</v>
      </c>
      <c r="M76" s="176">
        <v>1088350</v>
      </c>
      <c r="N76" s="361">
        <f>Q76+R76+S76+T76</f>
        <v>-1088350</v>
      </c>
      <c r="O76" s="32">
        <v>4180090</v>
      </c>
      <c r="P76" s="118"/>
      <c r="Q76" s="340">
        <v>-526170</v>
      </c>
      <c r="R76" s="35">
        <v>-36010</v>
      </c>
      <c r="S76" s="35">
        <v>-524500</v>
      </c>
      <c r="T76" s="155">
        <v>-1670</v>
      </c>
      <c r="U76" s="68"/>
      <c r="V76" s="155"/>
      <c r="W76" s="142" t="s">
        <v>57</v>
      </c>
      <c r="X76" s="66" t="s">
        <v>421</v>
      </c>
      <c r="Y76" s="128">
        <f t="shared" si="21"/>
        <v>0</v>
      </c>
      <c r="AA76" s="343">
        <v>-36010</v>
      </c>
      <c r="AB76" s="343">
        <v>0</v>
      </c>
      <c r="AC76" s="343">
        <v>0</v>
      </c>
      <c r="AD76" s="343">
        <v>0</v>
      </c>
      <c r="AE76" s="343">
        <v>0</v>
      </c>
      <c r="AF76" s="343">
        <v>0</v>
      </c>
      <c r="AG76" s="210">
        <f t="shared" si="22"/>
        <v>-36010</v>
      </c>
      <c r="AH76" s="207" t="str">
        <f t="shared" si="23"/>
        <v>OK</v>
      </c>
    </row>
    <row r="77" spans="1:34" ht="50.25" customHeight="1">
      <c r="A77" s="66">
        <v>65</v>
      </c>
      <c r="B77" s="89"/>
      <c r="C77" s="91"/>
      <c r="D77" s="50" t="s">
        <v>216</v>
      </c>
      <c r="E77" s="50" t="s">
        <v>217</v>
      </c>
      <c r="F77" s="132">
        <v>426000</v>
      </c>
      <c r="G77" s="132">
        <v>426000</v>
      </c>
      <c r="H77" s="318">
        <v>0</v>
      </c>
      <c r="I77" s="318">
        <v>92294</v>
      </c>
      <c r="J77" s="318">
        <v>332000</v>
      </c>
      <c r="K77" s="330">
        <f>G77-H77-I77-J77</f>
        <v>1706</v>
      </c>
      <c r="L77" s="132">
        <v>445000</v>
      </c>
      <c r="M77" s="176">
        <f>F77*0.5</f>
        <v>213000</v>
      </c>
      <c r="N77" s="33">
        <f>Q77+R77+S77+T77</f>
        <v>-213000</v>
      </c>
      <c r="O77" s="32">
        <v>5774883</v>
      </c>
      <c r="P77" s="118"/>
      <c r="Q77" s="34">
        <v>0</v>
      </c>
      <c r="R77" s="35">
        <v>-46147</v>
      </c>
      <c r="S77" s="35">
        <v>-166000</v>
      </c>
      <c r="T77" s="27">
        <v>-853</v>
      </c>
      <c r="U77" s="118"/>
      <c r="V77" s="155"/>
      <c r="W77" s="142" t="s">
        <v>395</v>
      </c>
      <c r="X77" s="66" t="s">
        <v>421</v>
      </c>
      <c r="Y77" s="128">
        <f t="shared" si="21"/>
        <v>0</v>
      </c>
      <c r="AA77" s="341">
        <v>-46147</v>
      </c>
      <c r="AB77" s="341">
        <v>0</v>
      </c>
      <c r="AC77" s="341">
        <v>0</v>
      </c>
      <c r="AD77" s="341">
        <v>0</v>
      </c>
      <c r="AE77" s="341">
        <v>0</v>
      </c>
      <c r="AF77" s="341">
        <v>0</v>
      </c>
      <c r="AG77" s="210">
        <f t="shared" si="22"/>
        <v>-46147</v>
      </c>
      <c r="AH77" s="207" t="str">
        <f t="shared" si="23"/>
        <v>OK</v>
      </c>
    </row>
    <row r="78" spans="1:34" ht="60.75" customHeight="1" thickBot="1">
      <c r="A78" s="66">
        <v>66</v>
      </c>
      <c r="B78" s="89"/>
      <c r="C78" s="92"/>
      <c r="D78" s="50" t="s">
        <v>218</v>
      </c>
      <c r="E78" s="50" t="s">
        <v>666</v>
      </c>
      <c r="F78" s="132">
        <v>6900000</v>
      </c>
      <c r="G78" s="317"/>
      <c r="H78" s="317"/>
      <c r="I78" s="317"/>
      <c r="J78" s="317"/>
      <c r="K78" s="317"/>
      <c r="L78" s="132">
        <v>7618719</v>
      </c>
      <c r="M78" s="176"/>
      <c r="N78" s="33">
        <v>-6900000</v>
      </c>
      <c r="O78" s="32">
        <v>6397147</v>
      </c>
      <c r="P78" s="118"/>
      <c r="Q78" s="34"/>
      <c r="R78" s="35"/>
      <c r="S78" s="35">
        <v>-6896000</v>
      </c>
      <c r="T78" s="27">
        <v>-4000</v>
      </c>
      <c r="U78" s="118"/>
      <c r="V78" s="155"/>
      <c r="W78" s="142" t="s">
        <v>373</v>
      </c>
      <c r="X78" s="66" t="s">
        <v>421</v>
      </c>
      <c r="Y78" s="128">
        <f t="shared" si="21"/>
        <v>0</v>
      </c>
      <c r="AA78" s="209"/>
      <c r="AB78" s="209"/>
      <c r="AC78" s="209"/>
      <c r="AD78" s="209"/>
      <c r="AE78" s="209"/>
      <c r="AF78" s="209"/>
      <c r="AG78" s="210">
        <f t="shared" si="22"/>
        <v>0</v>
      </c>
      <c r="AH78" s="207" t="str">
        <f t="shared" si="23"/>
        <v>OK</v>
      </c>
    </row>
    <row r="79" spans="1:34" ht="70.5" customHeight="1">
      <c r="A79" s="66">
        <v>67</v>
      </c>
      <c r="B79" s="89"/>
      <c r="C79" s="90" t="s">
        <v>219</v>
      </c>
      <c r="D79" s="50" t="s">
        <v>220</v>
      </c>
      <c r="E79" s="50" t="s">
        <v>762</v>
      </c>
      <c r="F79" s="132">
        <v>477820</v>
      </c>
      <c r="G79" s="198">
        <v>477820</v>
      </c>
      <c r="H79" s="193">
        <v>213236</v>
      </c>
      <c r="I79" s="206">
        <v>0</v>
      </c>
      <c r="J79" s="206">
        <v>260400</v>
      </c>
      <c r="K79" s="349">
        <f>G79-H79-I79-J79</f>
        <v>4184</v>
      </c>
      <c r="L79" s="132">
        <v>400605</v>
      </c>
      <c r="M79" s="176">
        <f>F79*0.35</f>
        <v>167237</v>
      </c>
      <c r="N79" s="33">
        <f>Q79+R79+S79+T79</f>
        <v>-167237</v>
      </c>
      <c r="O79" s="32">
        <v>5774883</v>
      </c>
      <c r="P79" s="118"/>
      <c r="Q79" s="34">
        <v>-74633</v>
      </c>
      <c r="R79" s="35">
        <v>0</v>
      </c>
      <c r="S79" s="35">
        <v>-91140</v>
      </c>
      <c r="T79" s="27">
        <v>-1464</v>
      </c>
      <c r="U79" s="118"/>
      <c r="V79" s="155"/>
      <c r="W79" s="142" t="s">
        <v>528</v>
      </c>
      <c r="X79" s="66" t="s">
        <v>421</v>
      </c>
      <c r="Y79" s="128">
        <f t="shared" si="21"/>
        <v>0</v>
      </c>
      <c r="AA79" s="209"/>
      <c r="AB79" s="209"/>
      <c r="AC79" s="209"/>
      <c r="AD79" s="209"/>
      <c r="AE79" s="209"/>
      <c r="AF79" s="209"/>
      <c r="AG79" s="210">
        <f t="shared" si="22"/>
        <v>0</v>
      </c>
      <c r="AH79" s="207" t="str">
        <f t="shared" si="23"/>
        <v>OK</v>
      </c>
    </row>
    <row r="80" spans="1:34" ht="50.25" customHeight="1">
      <c r="A80" s="66">
        <v>68</v>
      </c>
      <c r="B80" s="89"/>
      <c r="C80" s="92"/>
      <c r="D80" s="50" t="s">
        <v>221</v>
      </c>
      <c r="E80" s="50" t="s">
        <v>222</v>
      </c>
      <c r="F80" s="132">
        <v>184000</v>
      </c>
      <c r="G80" s="216"/>
      <c r="H80" s="321"/>
      <c r="I80" s="239"/>
      <c r="J80" s="239"/>
      <c r="K80" s="327"/>
      <c r="L80" s="132">
        <v>199400</v>
      </c>
      <c r="M80" s="176"/>
      <c r="N80" s="33">
        <v>-184000</v>
      </c>
      <c r="O80" s="32">
        <v>199400</v>
      </c>
      <c r="P80" s="118"/>
      <c r="Q80" s="34"/>
      <c r="R80" s="35"/>
      <c r="S80" s="35">
        <v>-182000</v>
      </c>
      <c r="T80" s="27">
        <v>-2000</v>
      </c>
      <c r="U80" s="118"/>
      <c r="V80" s="155"/>
      <c r="W80" s="142" t="s">
        <v>373</v>
      </c>
      <c r="X80" s="66" t="s">
        <v>421</v>
      </c>
      <c r="Y80" s="128">
        <f t="shared" si="21"/>
        <v>0</v>
      </c>
      <c r="AA80" s="209"/>
      <c r="AB80" s="209"/>
      <c r="AC80" s="209"/>
      <c r="AD80" s="209"/>
      <c r="AE80" s="209"/>
      <c r="AF80" s="209"/>
      <c r="AG80" s="210">
        <f t="shared" si="22"/>
        <v>0</v>
      </c>
      <c r="AH80" s="207" t="str">
        <f t="shared" si="23"/>
        <v>OK</v>
      </c>
    </row>
    <row r="81" spans="1:34" ht="63" customHeight="1">
      <c r="A81" s="66">
        <v>69</v>
      </c>
      <c r="B81" s="89"/>
      <c r="C81" s="90" t="s">
        <v>223</v>
      </c>
      <c r="D81" s="50" t="s">
        <v>224</v>
      </c>
      <c r="E81" s="50" t="s">
        <v>667</v>
      </c>
      <c r="F81" s="132">
        <v>7570000</v>
      </c>
      <c r="G81" s="195" t="s">
        <v>296</v>
      </c>
      <c r="H81" s="34">
        <v>3453965</v>
      </c>
      <c r="I81" s="35">
        <v>141549</v>
      </c>
      <c r="J81" s="35">
        <v>3630330</v>
      </c>
      <c r="K81" s="328">
        <v>9156</v>
      </c>
      <c r="L81" s="132">
        <v>8187200</v>
      </c>
      <c r="M81" s="176">
        <f>(F81-335000)*0.35</f>
        <v>2532250</v>
      </c>
      <c r="N81" s="33">
        <f>Q81+R81+S81+T81</f>
        <v>-2532250</v>
      </c>
      <c r="O81" s="32">
        <v>5774883</v>
      </c>
      <c r="P81" s="118"/>
      <c r="Q81" s="34">
        <v>-1208888</v>
      </c>
      <c r="R81" s="35">
        <v>-49542</v>
      </c>
      <c r="S81" s="35">
        <v>-1270615</v>
      </c>
      <c r="T81" s="27">
        <v>-3205</v>
      </c>
      <c r="U81" s="118"/>
      <c r="V81" s="155"/>
      <c r="W81" s="142" t="s">
        <v>293</v>
      </c>
      <c r="X81" s="66" t="s">
        <v>421</v>
      </c>
      <c r="Y81" s="211">
        <f t="shared" si="21"/>
        <v>0</v>
      </c>
      <c r="AA81" s="209">
        <v>-49542</v>
      </c>
      <c r="AB81" s="209"/>
      <c r="AC81" s="209"/>
      <c r="AD81" s="209"/>
      <c r="AE81" s="209"/>
      <c r="AF81" s="209"/>
      <c r="AG81" s="210">
        <f t="shared" si="22"/>
        <v>-49542</v>
      </c>
      <c r="AH81" s="207" t="str">
        <f t="shared" si="23"/>
        <v>OK</v>
      </c>
    </row>
    <row r="82" spans="1:34" ht="50.25" customHeight="1">
      <c r="A82" s="66">
        <v>70</v>
      </c>
      <c r="B82" s="89"/>
      <c r="C82" s="92"/>
      <c r="D82" s="38" t="s">
        <v>225</v>
      </c>
      <c r="E82" s="50" t="s">
        <v>226</v>
      </c>
      <c r="F82" s="132">
        <v>1652000</v>
      </c>
      <c r="G82" s="195"/>
      <c r="H82" s="34"/>
      <c r="I82" s="35"/>
      <c r="J82" s="35"/>
      <c r="K82" s="328"/>
      <c r="L82" s="132">
        <v>1718733</v>
      </c>
      <c r="M82" s="176"/>
      <c r="N82" s="33">
        <v>-1652000</v>
      </c>
      <c r="O82" s="32">
        <v>1733333</v>
      </c>
      <c r="P82" s="118"/>
      <c r="Q82" s="34"/>
      <c r="R82" s="35"/>
      <c r="S82" s="35">
        <v>-1650000</v>
      </c>
      <c r="T82" s="27">
        <v>-2000</v>
      </c>
      <c r="U82" s="118"/>
      <c r="V82" s="155"/>
      <c r="W82" s="142" t="s">
        <v>373</v>
      </c>
      <c r="X82" s="66" t="s">
        <v>421</v>
      </c>
      <c r="Y82" s="128">
        <f t="shared" si="21"/>
        <v>0</v>
      </c>
      <c r="AA82" s="209"/>
      <c r="AB82" s="209"/>
      <c r="AC82" s="209"/>
      <c r="AD82" s="209"/>
      <c r="AE82" s="209"/>
      <c r="AF82" s="209"/>
      <c r="AG82" s="210">
        <f t="shared" si="22"/>
        <v>0</v>
      </c>
      <c r="AH82" s="207" t="str">
        <f t="shared" si="23"/>
        <v>OK</v>
      </c>
    </row>
    <row r="83" spans="1:34" ht="71.25" customHeight="1">
      <c r="A83" s="66">
        <v>71</v>
      </c>
      <c r="B83" s="89"/>
      <c r="C83" s="90" t="s">
        <v>227</v>
      </c>
      <c r="D83" s="38" t="s">
        <v>261</v>
      </c>
      <c r="E83" s="50" t="s">
        <v>668</v>
      </c>
      <c r="F83" s="132">
        <v>6075224</v>
      </c>
      <c r="G83" s="107">
        <v>6075224</v>
      </c>
      <c r="H83" s="62">
        <v>2157838</v>
      </c>
      <c r="I83" s="62">
        <v>772100</v>
      </c>
      <c r="J83" s="62">
        <v>3137300</v>
      </c>
      <c r="K83" s="329">
        <f>G83-H83-I83-J83</f>
        <v>7986</v>
      </c>
      <c r="L83" s="132">
        <v>8134827</v>
      </c>
      <c r="M83" s="176">
        <f>F83*0.35</f>
        <v>2126328.4</v>
      </c>
      <c r="N83" s="33">
        <f>Q83+R83+S83+T83</f>
        <v>-2126328</v>
      </c>
      <c r="O83" s="32">
        <v>5774883</v>
      </c>
      <c r="P83" s="118"/>
      <c r="Q83" s="34">
        <v>-755243</v>
      </c>
      <c r="R83" s="35">
        <v>-270235</v>
      </c>
      <c r="S83" s="35">
        <v>-1098055</v>
      </c>
      <c r="T83" s="27">
        <v>-2795</v>
      </c>
      <c r="U83" s="118"/>
      <c r="V83" s="155"/>
      <c r="W83" s="142" t="s">
        <v>524</v>
      </c>
      <c r="X83" s="66" t="s">
        <v>421</v>
      </c>
      <c r="Y83" s="128">
        <f t="shared" si="21"/>
        <v>0</v>
      </c>
      <c r="AA83" s="209">
        <v>-270235</v>
      </c>
      <c r="AB83" s="209">
        <v>0</v>
      </c>
      <c r="AC83" s="209">
        <v>0</v>
      </c>
      <c r="AD83" s="209">
        <v>0</v>
      </c>
      <c r="AE83" s="209">
        <v>0</v>
      </c>
      <c r="AF83" s="209">
        <v>0</v>
      </c>
      <c r="AG83" s="210">
        <f t="shared" si="22"/>
        <v>-270235</v>
      </c>
      <c r="AH83" s="207" t="str">
        <f t="shared" si="23"/>
        <v>OK</v>
      </c>
    </row>
    <row r="84" spans="1:34" ht="31.5" customHeight="1">
      <c r="A84" s="66">
        <v>72</v>
      </c>
      <c r="B84" s="89"/>
      <c r="C84" s="91"/>
      <c r="D84" s="56" t="s">
        <v>262</v>
      </c>
      <c r="E84" s="50" t="s">
        <v>263</v>
      </c>
      <c r="F84" s="132">
        <v>120600</v>
      </c>
      <c r="G84" s="195">
        <v>120600</v>
      </c>
      <c r="H84" s="34">
        <v>0</v>
      </c>
      <c r="I84" s="35">
        <v>18090</v>
      </c>
      <c r="J84" s="35">
        <v>101000</v>
      </c>
      <c r="K84" s="328">
        <f>G84-H84-I84-J84</f>
        <v>1510</v>
      </c>
      <c r="L84" s="132">
        <v>119680</v>
      </c>
      <c r="M84" s="176">
        <f>F84*0.2</f>
        <v>24120</v>
      </c>
      <c r="N84" s="33">
        <f>Q84+R84+S84+T84</f>
        <v>-24120</v>
      </c>
      <c r="O84" s="32">
        <v>5774883</v>
      </c>
      <c r="P84" s="118"/>
      <c r="Q84" s="34">
        <v>0</v>
      </c>
      <c r="R84" s="35">
        <v>-3618</v>
      </c>
      <c r="S84" s="35">
        <v>-20200</v>
      </c>
      <c r="T84" s="27">
        <v>-302</v>
      </c>
      <c r="U84" s="118"/>
      <c r="V84" s="155"/>
      <c r="W84" s="142" t="s">
        <v>707</v>
      </c>
      <c r="X84" s="66" t="s">
        <v>421</v>
      </c>
      <c r="Y84" s="128">
        <f t="shared" si="21"/>
        <v>0</v>
      </c>
      <c r="AA84" s="209">
        <v>-3618</v>
      </c>
      <c r="AB84" s="209">
        <v>0</v>
      </c>
      <c r="AC84" s="209">
        <v>0</v>
      </c>
      <c r="AD84" s="209">
        <v>0</v>
      </c>
      <c r="AE84" s="209">
        <v>0</v>
      </c>
      <c r="AF84" s="209">
        <v>0</v>
      </c>
      <c r="AG84" s="210">
        <f t="shared" si="22"/>
        <v>-3618</v>
      </c>
      <c r="AH84" s="207" t="str">
        <f t="shared" si="23"/>
        <v>OK</v>
      </c>
    </row>
    <row r="85" spans="1:34" ht="48" customHeight="1">
      <c r="A85" s="66">
        <v>73</v>
      </c>
      <c r="B85" s="89"/>
      <c r="C85" s="92"/>
      <c r="D85" s="56" t="s">
        <v>396</v>
      </c>
      <c r="E85" s="50" t="s">
        <v>264</v>
      </c>
      <c r="F85" s="132">
        <v>605000</v>
      </c>
      <c r="G85" s="216"/>
      <c r="H85" s="321"/>
      <c r="I85" s="239"/>
      <c r="J85" s="239"/>
      <c r="K85" s="327"/>
      <c r="L85" s="132">
        <v>659000</v>
      </c>
      <c r="M85" s="176"/>
      <c r="N85" s="33">
        <v>-605000</v>
      </c>
      <c r="O85" s="32">
        <v>608000</v>
      </c>
      <c r="P85" s="118"/>
      <c r="Q85" s="34"/>
      <c r="R85" s="35"/>
      <c r="S85" s="35">
        <v>-603000</v>
      </c>
      <c r="T85" s="27">
        <v>-2000</v>
      </c>
      <c r="U85" s="118"/>
      <c r="V85" s="155"/>
      <c r="W85" s="142" t="s">
        <v>373</v>
      </c>
      <c r="X85" s="66" t="s">
        <v>421</v>
      </c>
      <c r="Y85" s="128">
        <f t="shared" si="21"/>
        <v>0</v>
      </c>
      <c r="AA85" s="209"/>
      <c r="AB85" s="209"/>
      <c r="AC85" s="209"/>
      <c r="AD85" s="209"/>
      <c r="AE85" s="209"/>
      <c r="AF85" s="209"/>
      <c r="AG85" s="210">
        <f t="shared" si="22"/>
        <v>0</v>
      </c>
      <c r="AH85" s="207" t="str">
        <f t="shared" si="23"/>
        <v>OK</v>
      </c>
    </row>
    <row r="86" spans="1:34" ht="31.5" customHeight="1" thickBot="1">
      <c r="A86" s="66">
        <v>74</v>
      </c>
      <c r="B86" s="89"/>
      <c r="C86" s="90" t="s">
        <v>265</v>
      </c>
      <c r="D86" s="38" t="s">
        <v>618</v>
      </c>
      <c r="E86" s="38" t="s">
        <v>266</v>
      </c>
      <c r="F86" s="131">
        <v>5000</v>
      </c>
      <c r="G86" s="362"/>
      <c r="H86" s="363"/>
      <c r="I86" s="156"/>
      <c r="J86" s="156"/>
      <c r="K86" s="364"/>
      <c r="L86" s="131">
        <v>5000</v>
      </c>
      <c r="M86" s="177"/>
      <c r="N86" s="26">
        <v>-5000</v>
      </c>
      <c r="O86" s="46">
        <v>5000</v>
      </c>
      <c r="P86" s="119"/>
      <c r="Q86" s="47"/>
      <c r="R86" s="48"/>
      <c r="S86" s="48"/>
      <c r="T86" s="49">
        <v>-5000</v>
      </c>
      <c r="U86" s="119"/>
      <c r="V86" s="149"/>
      <c r="W86" s="129"/>
      <c r="X86" s="66" t="s">
        <v>421</v>
      </c>
      <c r="Y86" s="128">
        <f t="shared" si="21"/>
        <v>0</v>
      </c>
      <c r="AA86" s="209"/>
      <c r="AB86" s="209"/>
      <c r="AC86" s="209"/>
      <c r="AD86" s="209"/>
      <c r="AE86" s="209"/>
      <c r="AF86" s="209"/>
      <c r="AG86" s="210">
        <f t="shared" si="22"/>
        <v>0</v>
      </c>
      <c r="AH86" s="207" t="str">
        <f t="shared" si="23"/>
        <v>OK</v>
      </c>
    </row>
    <row r="87" spans="1:34" ht="31.5" customHeight="1" thickBot="1">
      <c r="A87" s="66">
        <v>75</v>
      </c>
      <c r="B87" s="89"/>
      <c r="C87" s="91"/>
      <c r="D87" s="50" t="s">
        <v>618</v>
      </c>
      <c r="E87" s="50" t="s">
        <v>267</v>
      </c>
      <c r="F87" s="132">
        <v>40275</v>
      </c>
      <c r="G87" s="317"/>
      <c r="H87" s="317"/>
      <c r="I87" s="317"/>
      <c r="J87" s="317"/>
      <c r="K87" s="317"/>
      <c r="L87" s="132">
        <v>40295</v>
      </c>
      <c r="M87" s="176"/>
      <c r="N87" s="361">
        <v>-40275</v>
      </c>
      <c r="O87" s="32">
        <v>40329</v>
      </c>
      <c r="P87" s="118"/>
      <c r="Q87" s="340"/>
      <c r="R87" s="35"/>
      <c r="S87" s="35"/>
      <c r="T87" s="155">
        <v>-40275</v>
      </c>
      <c r="U87" s="118"/>
      <c r="V87" s="155"/>
      <c r="W87" s="142"/>
      <c r="X87" s="66" t="s">
        <v>421</v>
      </c>
      <c r="Y87" s="128">
        <f t="shared" si="21"/>
        <v>0</v>
      </c>
      <c r="AA87" s="343"/>
      <c r="AB87" s="343"/>
      <c r="AC87" s="343"/>
      <c r="AD87" s="343"/>
      <c r="AE87" s="343"/>
      <c r="AF87" s="343"/>
      <c r="AG87" s="210">
        <f t="shared" si="22"/>
        <v>0</v>
      </c>
      <c r="AH87" s="207" t="str">
        <f t="shared" si="23"/>
        <v>OK</v>
      </c>
    </row>
    <row r="88" spans="1:34" ht="31.5" customHeight="1">
      <c r="A88" s="66">
        <v>76</v>
      </c>
      <c r="B88" s="89"/>
      <c r="C88" s="91"/>
      <c r="D88" s="56" t="s">
        <v>268</v>
      </c>
      <c r="E88" s="50" t="s">
        <v>786</v>
      </c>
      <c r="F88" s="132">
        <v>56873</v>
      </c>
      <c r="G88" s="132">
        <v>56873</v>
      </c>
      <c r="H88" s="318">
        <v>0</v>
      </c>
      <c r="I88" s="318">
        <v>4500</v>
      </c>
      <c r="J88" s="318">
        <v>0</v>
      </c>
      <c r="K88" s="330">
        <f>G88-H88-I88-J88</f>
        <v>52373</v>
      </c>
      <c r="L88" s="132">
        <v>52343</v>
      </c>
      <c r="M88" s="176"/>
      <c r="N88" s="33">
        <f>Q88+R88+S88+T88</f>
        <v>-56873</v>
      </c>
      <c r="O88" s="32"/>
      <c r="P88" s="118"/>
      <c r="Q88" s="34"/>
      <c r="R88" s="35">
        <v>-4500</v>
      </c>
      <c r="S88" s="35"/>
      <c r="T88" s="27">
        <v>-52373</v>
      </c>
      <c r="U88" s="118"/>
      <c r="V88" s="155"/>
      <c r="W88" s="142"/>
      <c r="X88" s="66" t="s">
        <v>421</v>
      </c>
      <c r="Y88" s="128">
        <f t="shared" si="21"/>
        <v>0</v>
      </c>
      <c r="AA88" s="341"/>
      <c r="AB88" s="341">
        <v>-4500</v>
      </c>
      <c r="AC88" s="341"/>
      <c r="AD88" s="341"/>
      <c r="AE88" s="341"/>
      <c r="AF88" s="341"/>
      <c r="AG88" s="210">
        <f t="shared" si="22"/>
        <v>-4500</v>
      </c>
      <c r="AH88" s="207" t="str">
        <f t="shared" si="23"/>
        <v>OK</v>
      </c>
    </row>
    <row r="89" spans="1:34" ht="31.5" customHeight="1">
      <c r="A89" s="66">
        <v>77</v>
      </c>
      <c r="B89" s="89"/>
      <c r="C89" s="91"/>
      <c r="D89" s="51" t="s">
        <v>268</v>
      </c>
      <c r="E89" s="38" t="s">
        <v>529</v>
      </c>
      <c r="F89" s="131">
        <v>900</v>
      </c>
      <c r="G89" s="316"/>
      <c r="H89" s="316"/>
      <c r="I89" s="316"/>
      <c r="J89" s="316"/>
      <c r="K89" s="316"/>
      <c r="L89" s="131"/>
      <c r="M89" s="177"/>
      <c r="N89" s="26">
        <v>-900</v>
      </c>
      <c r="O89" s="46"/>
      <c r="P89" s="119"/>
      <c r="Q89" s="47"/>
      <c r="R89" s="48"/>
      <c r="S89" s="48"/>
      <c r="T89" s="49">
        <v>-900</v>
      </c>
      <c r="U89" s="119"/>
      <c r="V89" s="149"/>
      <c r="W89" s="129"/>
      <c r="X89" s="66" t="s">
        <v>421</v>
      </c>
      <c r="Y89" s="128">
        <f t="shared" si="21"/>
        <v>0</v>
      </c>
      <c r="AA89" s="341"/>
      <c r="AB89" s="341"/>
      <c r="AC89" s="341"/>
      <c r="AD89" s="341"/>
      <c r="AE89" s="341"/>
      <c r="AF89" s="341"/>
      <c r="AG89" s="210">
        <f t="shared" si="22"/>
        <v>0</v>
      </c>
      <c r="AH89" s="207" t="str">
        <f t="shared" si="23"/>
        <v>OK</v>
      </c>
    </row>
    <row r="90" spans="1:34" ht="31.5" customHeight="1">
      <c r="A90" s="66">
        <v>78</v>
      </c>
      <c r="B90" s="89"/>
      <c r="C90" s="91"/>
      <c r="D90" s="51" t="s">
        <v>268</v>
      </c>
      <c r="E90" s="38" t="s">
        <v>530</v>
      </c>
      <c r="F90" s="131">
        <v>20000</v>
      </c>
      <c r="G90" s="316"/>
      <c r="H90" s="316"/>
      <c r="I90" s="316"/>
      <c r="J90" s="316"/>
      <c r="K90" s="316"/>
      <c r="L90" s="131"/>
      <c r="M90" s="177"/>
      <c r="N90" s="26">
        <v>-20000</v>
      </c>
      <c r="O90" s="46"/>
      <c r="P90" s="119"/>
      <c r="Q90" s="47"/>
      <c r="R90" s="48"/>
      <c r="S90" s="48"/>
      <c r="T90" s="49">
        <v>-20000</v>
      </c>
      <c r="U90" s="119"/>
      <c r="V90" s="149"/>
      <c r="W90" s="129"/>
      <c r="X90" s="66" t="s">
        <v>421</v>
      </c>
      <c r="Y90" s="128">
        <f t="shared" si="21"/>
        <v>0</v>
      </c>
      <c r="AA90" s="341"/>
      <c r="AB90" s="341"/>
      <c r="AC90" s="341"/>
      <c r="AD90" s="341"/>
      <c r="AE90" s="341"/>
      <c r="AF90" s="341"/>
      <c r="AG90" s="210">
        <f t="shared" si="22"/>
        <v>0</v>
      </c>
      <c r="AH90" s="207" t="str">
        <f t="shared" si="23"/>
        <v>OK</v>
      </c>
    </row>
    <row r="91" spans="1:34" ht="31.5" customHeight="1" thickBot="1">
      <c r="A91" s="66">
        <v>79</v>
      </c>
      <c r="B91" s="89"/>
      <c r="C91" s="91"/>
      <c r="D91" s="51" t="s">
        <v>531</v>
      </c>
      <c r="E91" s="38"/>
      <c r="F91" s="131">
        <v>232500</v>
      </c>
      <c r="G91" s="316"/>
      <c r="H91" s="316"/>
      <c r="I91" s="316"/>
      <c r="J91" s="316"/>
      <c r="K91" s="316"/>
      <c r="L91" s="131">
        <v>141760</v>
      </c>
      <c r="M91" s="177"/>
      <c r="N91" s="26">
        <v>-232500</v>
      </c>
      <c r="O91" s="46"/>
      <c r="P91" s="119"/>
      <c r="Q91" s="47"/>
      <c r="R91" s="48"/>
      <c r="S91" s="48">
        <v>-59500</v>
      </c>
      <c r="T91" s="49">
        <v>-173000</v>
      </c>
      <c r="U91" s="119"/>
      <c r="V91" s="149"/>
      <c r="W91" s="129"/>
      <c r="X91" s="66" t="s">
        <v>421</v>
      </c>
      <c r="Y91" s="128">
        <f t="shared" si="21"/>
        <v>0</v>
      </c>
      <c r="AA91" s="341"/>
      <c r="AB91" s="341"/>
      <c r="AC91" s="341"/>
      <c r="AD91" s="341"/>
      <c r="AE91" s="341"/>
      <c r="AF91" s="341"/>
      <c r="AG91" s="210">
        <f t="shared" si="22"/>
        <v>0</v>
      </c>
      <c r="AH91" s="207" t="str">
        <f t="shared" si="23"/>
        <v>OK</v>
      </c>
    </row>
    <row r="92" spans="1:34" ht="57.75" customHeight="1" thickBot="1">
      <c r="A92" s="66">
        <v>80</v>
      </c>
      <c r="B92" s="89"/>
      <c r="C92" s="91"/>
      <c r="D92" s="130" t="s">
        <v>269</v>
      </c>
      <c r="E92" s="38" t="s">
        <v>713</v>
      </c>
      <c r="F92" s="131">
        <v>7000</v>
      </c>
      <c r="G92" s="315"/>
      <c r="H92" s="319"/>
      <c r="I92" s="323"/>
      <c r="J92" s="323"/>
      <c r="K92" s="325"/>
      <c r="L92" s="131">
        <v>44000</v>
      </c>
      <c r="M92" s="177"/>
      <c r="N92" s="33">
        <v>-7000</v>
      </c>
      <c r="O92" s="46">
        <v>197000</v>
      </c>
      <c r="P92" s="119"/>
      <c r="Q92" s="47"/>
      <c r="R92" s="48"/>
      <c r="S92" s="48">
        <v>-6300</v>
      </c>
      <c r="T92" s="49">
        <v>-700</v>
      </c>
      <c r="U92" s="119"/>
      <c r="V92" s="149"/>
      <c r="W92" s="129"/>
      <c r="X92" s="66" t="s">
        <v>421</v>
      </c>
      <c r="Y92" s="128">
        <f t="shared" si="21"/>
        <v>0</v>
      </c>
      <c r="AA92" s="341"/>
      <c r="AB92" s="341"/>
      <c r="AC92" s="341"/>
      <c r="AD92" s="341"/>
      <c r="AE92" s="341"/>
      <c r="AF92" s="341"/>
      <c r="AG92" s="210">
        <f t="shared" si="22"/>
        <v>0</v>
      </c>
      <c r="AH92" s="207" t="str">
        <f t="shared" si="23"/>
        <v>OK</v>
      </c>
    </row>
    <row r="93" spans="1:34" ht="39.75" customHeight="1">
      <c r="A93" s="66">
        <v>81</v>
      </c>
      <c r="B93" s="89"/>
      <c r="C93" s="91"/>
      <c r="D93" s="51" t="s">
        <v>270</v>
      </c>
      <c r="E93" s="38" t="s">
        <v>270</v>
      </c>
      <c r="F93" s="131">
        <v>243607</v>
      </c>
      <c r="G93" s="316"/>
      <c r="H93" s="316"/>
      <c r="I93" s="316"/>
      <c r="J93" s="316"/>
      <c r="K93" s="316"/>
      <c r="L93" s="131">
        <v>195233</v>
      </c>
      <c r="M93" s="177"/>
      <c r="N93" s="26">
        <v>-243607</v>
      </c>
      <c r="O93" s="46">
        <v>158443</v>
      </c>
      <c r="P93" s="119"/>
      <c r="Q93" s="47"/>
      <c r="R93" s="48"/>
      <c r="S93" s="48"/>
      <c r="T93" s="49">
        <v>-243607</v>
      </c>
      <c r="U93" s="119"/>
      <c r="V93" s="149"/>
      <c r="W93" s="129"/>
      <c r="X93" s="66" t="s">
        <v>421</v>
      </c>
      <c r="Y93" s="128">
        <f t="shared" si="21"/>
        <v>0</v>
      </c>
      <c r="AA93" s="341"/>
      <c r="AB93" s="341"/>
      <c r="AC93" s="341"/>
      <c r="AD93" s="341"/>
      <c r="AE93" s="341"/>
      <c r="AF93" s="341"/>
      <c r="AG93" s="210">
        <f t="shared" si="22"/>
        <v>0</v>
      </c>
      <c r="AH93" s="207" t="str">
        <f t="shared" si="23"/>
        <v>OK</v>
      </c>
    </row>
    <row r="94" spans="1:34" ht="31.5" customHeight="1">
      <c r="A94" s="66">
        <v>82</v>
      </c>
      <c r="B94" s="89"/>
      <c r="C94" s="91"/>
      <c r="D94" s="51" t="s">
        <v>787</v>
      </c>
      <c r="E94" s="38" t="s">
        <v>788</v>
      </c>
      <c r="F94" s="131">
        <v>139000</v>
      </c>
      <c r="G94" s="131">
        <v>139000</v>
      </c>
      <c r="H94" s="314">
        <v>0</v>
      </c>
      <c r="I94" s="314">
        <v>139000</v>
      </c>
      <c r="J94" s="314">
        <v>0</v>
      </c>
      <c r="K94" s="326">
        <f>G94-H94-I94-J94</f>
        <v>0</v>
      </c>
      <c r="L94" s="131">
        <v>139000</v>
      </c>
      <c r="M94" s="177"/>
      <c r="N94" s="26">
        <f>Q94+R94+S94+T94</f>
        <v>-139000</v>
      </c>
      <c r="O94" s="46"/>
      <c r="P94" s="119"/>
      <c r="Q94" s="47"/>
      <c r="R94" s="48">
        <v>-139000</v>
      </c>
      <c r="S94" s="48"/>
      <c r="T94" s="49">
        <v>0</v>
      </c>
      <c r="U94" s="119"/>
      <c r="V94" s="149"/>
      <c r="W94" s="129"/>
      <c r="X94" s="66" t="s">
        <v>421</v>
      </c>
      <c r="Y94" s="128">
        <f t="shared" si="21"/>
        <v>0</v>
      </c>
      <c r="AA94" s="341">
        <v>0</v>
      </c>
      <c r="AB94" s="341">
        <v>0</v>
      </c>
      <c r="AC94" s="341">
        <v>0</v>
      </c>
      <c r="AD94" s="341">
        <v>0</v>
      </c>
      <c r="AE94" s="341">
        <v>-139000</v>
      </c>
      <c r="AF94" s="341">
        <v>0</v>
      </c>
      <c r="AG94" s="210">
        <f t="shared" si="22"/>
        <v>-139000</v>
      </c>
      <c r="AH94" s="207" t="str">
        <f t="shared" si="23"/>
        <v>OK</v>
      </c>
    </row>
    <row r="95" spans="1:34" ht="31.5" customHeight="1">
      <c r="A95" s="66">
        <v>83</v>
      </c>
      <c r="B95" s="89"/>
      <c r="C95" s="92"/>
      <c r="D95" s="51" t="s">
        <v>787</v>
      </c>
      <c r="E95" s="38" t="s">
        <v>790</v>
      </c>
      <c r="F95" s="131">
        <v>7000</v>
      </c>
      <c r="G95" s="131">
        <v>7000</v>
      </c>
      <c r="H95" s="314">
        <v>0</v>
      </c>
      <c r="I95" s="314">
        <v>7000</v>
      </c>
      <c r="J95" s="314">
        <v>0</v>
      </c>
      <c r="K95" s="326">
        <f>G95-H95-I95-J95</f>
        <v>0</v>
      </c>
      <c r="L95" s="131">
        <v>5000</v>
      </c>
      <c r="M95" s="177"/>
      <c r="N95" s="26">
        <f>Q95+R95+S95+T95</f>
        <v>-7000</v>
      </c>
      <c r="O95" s="46"/>
      <c r="P95" s="119"/>
      <c r="Q95" s="47"/>
      <c r="R95" s="48">
        <v>-7000</v>
      </c>
      <c r="S95" s="48"/>
      <c r="T95" s="49">
        <v>0</v>
      </c>
      <c r="U95" s="119"/>
      <c r="V95" s="149"/>
      <c r="W95" s="129"/>
      <c r="X95" s="66" t="s">
        <v>421</v>
      </c>
      <c r="Y95" s="128">
        <f t="shared" si="21"/>
        <v>0</v>
      </c>
      <c r="AA95" s="341">
        <v>0</v>
      </c>
      <c r="AB95" s="341">
        <v>0</v>
      </c>
      <c r="AC95" s="341">
        <v>0</v>
      </c>
      <c r="AD95" s="341">
        <v>0</v>
      </c>
      <c r="AE95" s="341">
        <v>-7000</v>
      </c>
      <c r="AF95" s="341">
        <v>0</v>
      </c>
      <c r="AG95" s="210">
        <f t="shared" si="22"/>
        <v>-7000</v>
      </c>
      <c r="AH95" s="207" t="str">
        <f t="shared" si="23"/>
        <v>OK</v>
      </c>
    </row>
    <row r="96" spans="1:34" ht="60.75" customHeight="1">
      <c r="A96" s="66">
        <v>84</v>
      </c>
      <c r="B96" s="89"/>
      <c r="C96" s="90" t="s">
        <v>271</v>
      </c>
      <c r="D96" s="51" t="s">
        <v>40</v>
      </c>
      <c r="E96" s="38" t="s">
        <v>41</v>
      </c>
      <c r="F96" s="131">
        <v>1480750</v>
      </c>
      <c r="G96" s="316"/>
      <c r="H96" s="316"/>
      <c r="I96" s="316"/>
      <c r="J96" s="316"/>
      <c r="K96" s="316"/>
      <c r="L96" s="131">
        <v>1447750</v>
      </c>
      <c r="M96" s="177"/>
      <c r="N96" s="26">
        <v>-243000</v>
      </c>
      <c r="O96" s="46">
        <v>1019000</v>
      </c>
      <c r="P96" s="119"/>
      <c r="Q96" s="47"/>
      <c r="R96" s="48"/>
      <c r="S96" s="48">
        <v>-243000</v>
      </c>
      <c r="T96" s="49"/>
      <c r="U96" s="119"/>
      <c r="V96" s="149"/>
      <c r="W96" s="129" t="s">
        <v>96</v>
      </c>
      <c r="X96" s="66" t="s">
        <v>421</v>
      </c>
      <c r="Y96" s="128">
        <f t="shared" si="21"/>
        <v>0</v>
      </c>
      <c r="AA96" s="341"/>
      <c r="AB96" s="341"/>
      <c r="AC96" s="341"/>
      <c r="AD96" s="341"/>
      <c r="AE96" s="341"/>
      <c r="AF96" s="341"/>
      <c r="AG96" s="210">
        <f t="shared" si="22"/>
        <v>0</v>
      </c>
      <c r="AH96" s="207" t="str">
        <f t="shared" si="23"/>
        <v>OK</v>
      </c>
    </row>
    <row r="97" spans="1:34" ht="68.25" customHeight="1">
      <c r="A97" s="66">
        <v>85</v>
      </c>
      <c r="B97" s="89"/>
      <c r="C97" s="90" t="s">
        <v>669</v>
      </c>
      <c r="D97" s="51" t="s">
        <v>674</v>
      </c>
      <c r="E97" s="38"/>
      <c r="F97" s="131">
        <v>5809724</v>
      </c>
      <c r="G97" s="131">
        <v>5809724</v>
      </c>
      <c r="H97" s="314">
        <v>2903864</v>
      </c>
      <c r="I97" s="314">
        <v>969951</v>
      </c>
      <c r="J97" s="314">
        <v>1932500</v>
      </c>
      <c r="K97" s="326">
        <f aca="true" t="shared" si="24" ref="K97:K102">G97-H97-I97-J97</f>
        <v>3409</v>
      </c>
      <c r="L97" s="131">
        <v>8452929</v>
      </c>
      <c r="M97" s="177">
        <f>F97*0.35</f>
        <v>2033403.4</v>
      </c>
      <c r="N97" s="26">
        <f>Q97+R97+S97+T97</f>
        <v>-2033403</v>
      </c>
      <c r="O97" s="46">
        <v>5774883</v>
      </c>
      <c r="P97" s="119"/>
      <c r="Q97" s="47">
        <v>-1016352</v>
      </c>
      <c r="R97" s="48">
        <v>-339483</v>
      </c>
      <c r="S97" s="48">
        <v>-676375</v>
      </c>
      <c r="T97" s="49">
        <v>-1193</v>
      </c>
      <c r="U97" s="119"/>
      <c r="V97" s="149"/>
      <c r="W97" s="129" t="s">
        <v>524</v>
      </c>
      <c r="X97" s="66" t="s">
        <v>421</v>
      </c>
      <c r="Y97" s="128">
        <f t="shared" si="21"/>
        <v>0</v>
      </c>
      <c r="AA97" s="341">
        <v>-339483</v>
      </c>
      <c r="AB97" s="341">
        <v>0</v>
      </c>
      <c r="AC97" s="341">
        <v>0</v>
      </c>
      <c r="AD97" s="341">
        <v>0</v>
      </c>
      <c r="AE97" s="341">
        <v>0</v>
      </c>
      <c r="AF97" s="341">
        <v>0</v>
      </c>
      <c r="AG97" s="210">
        <f t="shared" si="22"/>
        <v>-339483</v>
      </c>
      <c r="AH97" s="207" t="str">
        <f t="shared" si="23"/>
        <v>OK</v>
      </c>
    </row>
    <row r="98" spans="1:34" ht="50.25" customHeight="1" thickBot="1">
      <c r="A98" s="66">
        <v>86</v>
      </c>
      <c r="B98" s="89"/>
      <c r="C98" s="91"/>
      <c r="D98" s="38" t="s">
        <v>272</v>
      </c>
      <c r="E98" s="38" t="s">
        <v>273</v>
      </c>
      <c r="F98" s="131">
        <v>8639304</v>
      </c>
      <c r="G98" s="131">
        <v>8639304</v>
      </c>
      <c r="H98" s="314">
        <v>4449308</v>
      </c>
      <c r="I98" s="314">
        <v>1575745</v>
      </c>
      <c r="J98" s="314">
        <v>2613000</v>
      </c>
      <c r="K98" s="326">
        <f t="shared" si="24"/>
        <v>1251</v>
      </c>
      <c r="L98" s="131">
        <v>11499960</v>
      </c>
      <c r="M98" s="177">
        <f>F98*0.2</f>
        <v>1727860.8</v>
      </c>
      <c r="N98" s="26">
        <f>Q98+R98+S98+T98</f>
        <v>-1727861</v>
      </c>
      <c r="O98" s="46">
        <v>5774883</v>
      </c>
      <c r="P98" s="119"/>
      <c r="Q98" s="47">
        <v>-889862</v>
      </c>
      <c r="R98" s="48">
        <v>-315149</v>
      </c>
      <c r="S98" s="48">
        <v>-522600</v>
      </c>
      <c r="T98" s="149">
        <v>-250</v>
      </c>
      <c r="U98" s="119"/>
      <c r="V98" s="149"/>
      <c r="W98" s="129" t="s">
        <v>79</v>
      </c>
      <c r="X98" s="66" t="s">
        <v>421</v>
      </c>
      <c r="Y98" s="128">
        <f t="shared" si="21"/>
        <v>0</v>
      </c>
      <c r="AA98" s="341">
        <v>-315149</v>
      </c>
      <c r="AB98" s="341">
        <v>0</v>
      </c>
      <c r="AC98" s="341">
        <v>0</v>
      </c>
      <c r="AD98" s="341">
        <v>0</v>
      </c>
      <c r="AE98" s="341">
        <v>0</v>
      </c>
      <c r="AF98" s="341">
        <v>0</v>
      </c>
      <c r="AG98" s="210">
        <f t="shared" si="22"/>
        <v>-315149</v>
      </c>
      <c r="AH98" s="207" t="str">
        <f t="shared" si="23"/>
        <v>OK</v>
      </c>
    </row>
    <row r="99" spans="1:34" ht="31.5" customHeight="1" thickBot="1">
      <c r="A99" s="66">
        <v>87</v>
      </c>
      <c r="B99" s="89"/>
      <c r="C99" s="92"/>
      <c r="D99" s="50" t="s">
        <v>412</v>
      </c>
      <c r="E99" s="50" t="s">
        <v>413</v>
      </c>
      <c r="F99" s="132">
        <v>602000</v>
      </c>
      <c r="G99" s="132">
        <v>602000</v>
      </c>
      <c r="H99" s="318">
        <v>0</v>
      </c>
      <c r="I99" s="318">
        <v>301000</v>
      </c>
      <c r="J99" s="318">
        <v>300000</v>
      </c>
      <c r="K99" s="330">
        <f t="shared" si="24"/>
        <v>1000</v>
      </c>
      <c r="L99" s="132">
        <v>1377000</v>
      </c>
      <c r="M99" s="176">
        <f>F99*0.35</f>
        <v>210700</v>
      </c>
      <c r="N99" s="33">
        <f>Q99+R99+S99+T99</f>
        <v>-210700</v>
      </c>
      <c r="O99" s="32">
        <v>5774883</v>
      </c>
      <c r="P99" s="118"/>
      <c r="Q99" s="340">
        <v>0</v>
      </c>
      <c r="R99" s="35">
        <v>-105350</v>
      </c>
      <c r="S99" s="35">
        <v>-105000</v>
      </c>
      <c r="T99" s="155">
        <v>-350</v>
      </c>
      <c r="U99" s="118"/>
      <c r="V99" s="155"/>
      <c r="W99" s="142" t="s">
        <v>524</v>
      </c>
      <c r="X99" s="66" t="s">
        <v>421</v>
      </c>
      <c r="Y99" s="128">
        <f t="shared" si="21"/>
        <v>0</v>
      </c>
      <c r="AA99" s="344">
        <v>-105350</v>
      </c>
      <c r="AB99" s="344">
        <v>0</v>
      </c>
      <c r="AC99" s="344">
        <v>0</v>
      </c>
      <c r="AD99" s="344">
        <v>0</v>
      </c>
      <c r="AE99" s="344">
        <v>0</v>
      </c>
      <c r="AF99" s="344">
        <v>0</v>
      </c>
      <c r="AG99" s="210">
        <f t="shared" si="22"/>
        <v>-105350</v>
      </c>
      <c r="AH99" s="207" t="str">
        <f t="shared" si="23"/>
        <v>OK</v>
      </c>
    </row>
    <row r="100" spans="1:34" ht="66" customHeight="1">
      <c r="A100" s="66">
        <v>88</v>
      </c>
      <c r="B100" s="89"/>
      <c r="C100" s="90" t="s">
        <v>274</v>
      </c>
      <c r="D100" s="50" t="s">
        <v>275</v>
      </c>
      <c r="E100" s="50" t="s">
        <v>619</v>
      </c>
      <c r="F100" s="132">
        <v>1285595</v>
      </c>
      <c r="G100" s="132">
        <v>1285595</v>
      </c>
      <c r="H100" s="318">
        <v>466441</v>
      </c>
      <c r="I100" s="318">
        <v>0</v>
      </c>
      <c r="J100" s="318">
        <v>817800</v>
      </c>
      <c r="K100" s="330">
        <f t="shared" si="24"/>
        <v>1354</v>
      </c>
      <c r="L100" s="132">
        <v>4631105</v>
      </c>
      <c r="M100" s="176">
        <f>F100*0.35</f>
        <v>449958.25</v>
      </c>
      <c r="N100" s="33">
        <f>Q100+R100+S100+T100</f>
        <v>-449958</v>
      </c>
      <c r="O100" s="32">
        <v>5774883</v>
      </c>
      <c r="P100" s="118"/>
      <c r="Q100" s="34">
        <v>-163254</v>
      </c>
      <c r="R100" s="35">
        <v>0</v>
      </c>
      <c r="S100" s="35">
        <v>-286230</v>
      </c>
      <c r="T100" s="27">
        <v>-474</v>
      </c>
      <c r="U100" s="118"/>
      <c r="V100" s="155"/>
      <c r="W100" s="142" t="s">
        <v>532</v>
      </c>
      <c r="X100" s="66" t="s">
        <v>421</v>
      </c>
      <c r="Y100" s="128">
        <f t="shared" si="21"/>
        <v>0</v>
      </c>
      <c r="AA100" s="341"/>
      <c r="AB100" s="341"/>
      <c r="AC100" s="341"/>
      <c r="AD100" s="341"/>
      <c r="AE100" s="209"/>
      <c r="AF100" s="341"/>
      <c r="AG100" s="210">
        <f t="shared" si="22"/>
        <v>0</v>
      </c>
      <c r="AH100" s="207" t="str">
        <f t="shared" si="23"/>
        <v>OK</v>
      </c>
    </row>
    <row r="101" spans="1:34" ht="31.5" customHeight="1">
      <c r="A101" s="66">
        <v>89</v>
      </c>
      <c r="B101" s="89"/>
      <c r="C101" s="91"/>
      <c r="D101" s="38" t="s">
        <v>276</v>
      </c>
      <c r="E101" s="38" t="s">
        <v>277</v>
      </c>
      <c r="F101" s="131">
        <v>898306</v>
      </c>
      <c r="G101" s="131">
        <v>898306</v>
      </c>
      <c r="H101" s="314">
        <v>0</v>
      </c>
      <c r="I101" s="314">
        <v>1500</v>
      </c>
      <c r="J101" s="314">
        <v>895500</v>
      </c>
      <c r="K101" s="326">
        <f t="shared" si="24"/>
        <v>1306</v>
      </c>
      <c r="L101" s="131">
        <v>3352851</v>
      </c>
      <c r="M101" s="177">
        <f>F101*0.2</f>
        <v>179661.2</v>
      </c>
      <c r="N101" s="26">
        <f>Q101+R101+S101+T101</f>
        <v>-179661</v>
      </c>
      <c r="O101" s="46">
        <v>5774883</v>
      </c>
      <c r="P101" s="119"/>
      <c r="Q101" s="47">
        <v>0</v>
      </c>
      <c r="R101" s="48">
        <v>-300</v>
      </c>
      <c r="S101" s="48">
        <v>-179100</v>
      </c>
      <c r="T101" s="49">
        <v>-261</v>
      </c>
      <c r="U101" s="119"/>
      <c r="V101" s="149"/>
      <c r="W101" s="129" t="s">
        <v>394</v>
      </c>
      <c r="X101" s="66" t="s">
        <v>421</v>
      </c>
      <c r="Y101" s="128">
        <f t="shared" si="21"/>
        <v>0</v>
      </c>
      <c r="AA101" s="341">
        <v>0</v>
      </c>
      <c r="AB101" s="341">
        <v>0</v>
      </c>
      <c r="AC101" s="341">
        <v>0</v>
      </c>
      <c r="AD101" s="341">
        <v>-300</v>
      </c>
      <c r="AE101" s="341">
        <v>0</v>
      </c>
      <c r="AF101" s="341">
        <v>0</v>
      </c>
      <c r="AG101" s="210">
        <f t="shared" si="22"/>
        <v>-300</v>
      </c>
      <c r="AH101" s="207" t="str">
        <f t="shared" si="23"/>
        <v>OK</v>
      </c>
    </row>
    <row r="102" spans="1:34" ht="53.25" customHeight="1">
      <c r="A102" s="66">
        <v>90</v>
      </c>
      <c r="B102" s="89"/>
      <c r="C102" s="91"/>
      <c r="D102" s="38" t="s">
        <v>278</v>
      </c>
      <c r="E102" s="38" t="s">
        <v>279</v>
      </c>
      <c r="F102" s="131">
        <v>621000</v>
      </c>
      <c r="G102" s="131">
        <v>621000</v>
      </c>
      <c r="H102" s="314">
        <v>0</v>
      </c>
      <c r="I102" s="314">
        <v>200900</v>
      </c>
      <c r="J102" s="314">
        <v>418000</v>
      </c>
      <c r="K102" s="326">
        <f t="shared" si="24"/>
        <v>2100</v>
      </c>
      <c r="L102" s="131">
        <v>690345</v>
      </c>
      <c r="M102" s="177"/>
      <c r="N102" s="33">
        <v>-621000</v>
      </c>
      <c r="O102" s="46">
        <v>711849</v>
      </c>
      <c r="P102" s="119"/>
      <c r="Q102" s="47"/>
      <c r="R102" s="48">
        <v>-200900</v>
      </c>
      <c r="S102" s="48">
        <v>-418000</v>
      </c>
      <c r="T102" s="49">
        <v>-2100</v>
      </c>
      <c r="U102" s="119"/>
      <c r="V102" s="149"/>
      <c r="W102" s="129" t="s">
        <v>429</v>
      </c>
      <c r="X102" s="66" t="s">
        <v>421</v>
      </c>
      <c r="Y102" s="128">
        <f aca="true" t="shared" si="25" ref="Y102:Y135">N102-Q102-R102-S102-T102</f>
        <v>0</v>
      </c>
      <c r="AA102" s="341">
        <v>-200900</v>
      </c>
      <c r="AB102" s="341"/>
      <c r="AC102" s="341"/>
      <c r="AD102" s="341"/>
      <c r="AE102" s="341"/>
      <c r="AF102" s="341"/>
      <c r="AG102" s="210">
        <f aca="true" t="shared" si="26" ref="AG102:AG133">SUM(AA102:AF102)</f>
        <v>-200900</v>
      </c>
      <c r="AH102" s="207" t="str">
        <f aca="true" t="shared" si="27" ref="AH102:AH133">IF(R102=AG102,"OK","OUT")</f>
        <v>OK</v>
      </c>
    </row>
    <row r="103" spans="1:34" ht="50.25" customHeight="1">
      <c r="A103" s="66">
        <v>91</v>
      </c>
      <c r="B103" s="89"/>
      <c r="C103" s="91"/>
      <c r="D103" s="38" t="s">
        <v>414</v>
      </c>
      <c r="E103" s="38" t="s">
        <v>280</v>
      </c>
      <c r="F103" s="131">
        <v>57744</v>
      </c>
      <c r="G103" s="316"/>
      <c r="H103" s="316"/>
      <c r="I103" s="316"/>
      <c r="J103" s="316"/>
      <c r="K103" s="316"/>
      <c r="L103" s="131">
        <v>90839</v>
      </c>
      <c r="M103" s="177"/>
      <c r="N103" s="26">
        <v>-57744</v>
      </c>
      <c r="O103" s="46">
        <v>103000</v>
      </c>
      <c r="P103" s="119"/>
      <c r="Q103" s="47"/>
      <c r="R103" s="48"/>
      <c r="S103" s="48"/>
      <c r="T103" s="49">
        <v>-57744</v>
      </c>
      <c r="U103" s="119"/>
      <c r="V103" s="149"/>
      <c r="W103" s="129" t="s">
        <v>393</v>
      </c>
      <c r="X103" s="66" t="s">
        <v>421</v>
      </c>
      <c r="Y103" s="128">
        <f t="shared" si="25"/>
        <v>0</v>
      </c>
      <c r="AA103" s="341"/>
      <c r="AB103" s="341"/>
      <c r="AC103" s="341"/>
      <c r="AD103" s="341"/>
      <c r="AE103" s="341"/>
      <c r="AF103" s="341"/>
      <c r="AG103" s="210">
        <f t="shared" si="26"/>
        <v>0</v>
      </c>
      <c r="AH103" s="207" t="str">
        <f t="shared" si="27"/>
        <v>OK</v>
      </c>
    </row>
    <row r="104" spans="1:34" ht="54" customHeight="1">
      <c r="A104" s="66">
        <v>92</v>
      </c>
      <c r="B104" s="89"/>
      <c r="C104" s="92"/>
      <c r="D104" s="51" t="s">
        <v>281</v>
      </c>
      <c r="E104" s="38" t="s">
        <v>620</v>
      </c>
      <c r="F104" s="131">
        <v>412274</v>
      </c>
      <c r="G104" s="131">
        <v>412274</v>
      </c>
      <c r="H104" s="314">
        <v>0</v>
      </c>
      <c r="I104" s="314">
        <v>0</v>
      </c>
      <c r="J104" s="314">
        <v>163000</v>
      </c>
      <c r="K104" s="326">
        <f>G104-H104-I104-J104</f>
        <v>249274</v>
      </c>
      <c r="L104" s="131">
        <v>417049</v>
      </c>
      <c r="M104" s="177">
        <f>F104*0.5</f>
        <v>206137</v>
      </c>
      <c r="N104" s="26">
        <f>Q104+R104+S104+T104</f>
        <v>-206137</v>
      </c>
      <c r="O104" s="46">
        <v>5774883</v>
      </c>
      <c r="P104" s="119"/>
      <c r="Q104" s="47">
        <v>0</v>
      </c>
      <c r="R104" s="48">
        <v>0</v>
      </c>
      <c r="S104" s="48">
        <v>-81500</v>
      </c>
      <c r="T104" s="49">
        <v>-124637</v>
      </c>
      <c r="U104" s="119"/>
      <c r="V104" s="149"/>
      <c r="W104" s="129" t="s">
        <v>533</v>
      </c>
      <c r="X104" s="66" t="s">
        <v>421</v>
      </c>
      <c r="Y104" s="128">
        <f t="shared" si="25"/>
        <v>0</v>
      </c>
      <c r="AA104" s="341"/>
      <c r="AB104" s="341"/>
      <c r="AC104" s="341"/>
      <c r="AD104" s="341"/>
      <c r="AE104" s="341"/>
      <c r="AF104" s="209"/>
      <c r="AG104" s="210">
        <f t="shared" si="26"/>
        <v>0</v>
      </c>
      <c r="AH104" s="207" t="str">
        <f t="shared" si="27"/>
        <v>OK</v>
      </c>
    </row>
    <row r="105" spans="1:34" ht="54" customHeight="1">
      <c r="A105" s="66">
        <v>93</v>
      </c>
      <c r="B105" s="89"/>
      <c r="C105" s="90" t="s">
        <v>422</v>
      </c>
      <c r="D105" s="51" t="s">
        <v>534</v>
      </c>
      <c r="E105" s="38"/>
      <c r="F105" s="131">
        <v>57798</v>
      </c>
      <c r="G105" s="316"/>
      <c r="H105" s="316"/>
      <c r="I105" s="316"/>
      <c r="J105" s="316"/>
      <c r="K105" s="316"/>
      <c r="L105" s="131">
        <v>132662</v>
      </c>
      <c r="M105" s="177">
        <f>F105*0.5</f>
        <v>28899</v>
      </c>
      <c r="N105" s="26">
        <v>-29000</v>
      </c>
      <c r="O105" s="46"/>
      <c r="P105" s="119"/>
      <c r="Q105" s="47"/>
      <c r="R105" s="48"/>
      <c r="S105" s="48"/>
      <c r="T105" s="49">
        <v>-29000</v>
      </c>
      <c r="U105" s="119"/>
      <c r="V105" s="149"/>
      <c r="W105" s="129" t="s">
        <v>533</v>
      </c>
      <c r="X105" s="66" t="s">
        <v>421</v>
      </c>
      <c r="Y105" s="128">
        <f t="shared" si="25"/>
        <v>0</v>
      </c>
      <c r="AA105" s="341"/>
      <c r="AB105" s="341"/>
      <c r="AC105" s="341"/>
      <c r="AD105" s="341"/>
      <c r="AE105" s="341"/>
      <c r="AF105" s="341"/>
      <c r="AG105" s="210">
        <f t="shared" si="26"/>
        <v>0</v>
      </c>
      <c r="AH105" s="207" t="str">
        <f t="shared" si="27"/>
        <v>OK</v>
      </c>
    </row>
    <row r="106" spans="1:34" ht="60.75" customHeight="1" thickBot="1">
      <c r="A106" s="66">
        <v>94</v>
      </c>
      <c r="B106" s="89"/>
      <c r="C106" s="91"/>
      <c r="D106" s="51" t="s">
        <v>282</v>
      </c>
      <c r="E106" s="38" t="s">
        <v>801</v>
      </c>
      <c r="F106" s="131">
        <v>1293944</v>
      </c>
      <c r="G106" s="131">
        <v>1293944</v>
      </c>
      <c r="H106" s="314">
        <v>542385</v>
      </c>
      <c r="I106" s="314">
        <v>375780</v>
      </c>
      <c r="J106" s="314">
        <v>348500</v>
      </c>
      <c r="K106" s="326">
        <f>G106-H106-I106-J106</f>
        <v>27279</v>
      </c>
      <c r="L106" s="131">
        <v>3250990</v>
      </c>
      <c r="M106" s="177">
        <f>F106*0.35</f>
        <v>452880.39999999997</v>
      </c>
      <c r="N106" s="26">
        <f>Q106+R106+S106+T106</f>
        <v>-452881</v>
      </c>
      <c r="O106" s="46">
        <v>5774883</v>
      </c>
      <c r="P106" s="119"/>
      <c r="Q106" s="47">
        <v>-189835</v>
      </c>
      <c r="R106" s="48">
        <v>-131523</v>
      </c>
      <c r="S106" s="48">
        <v>-121975</v>
      </c>
      <c r="T106" s="49">
        <v>-9548</v>
      </c>
      <c r="U106" s="119"/>
      <c r="V106" s="149"/>
      <c r="W106" s="129" t="s">
        <v>532</v>
      </c>
      <c r="X106" s="66" t="s">
        <v>421</v>
      </c>
      <c r="Y106" s="128">
        <f t="shared" si="25"/>
        <v>0</v>
      </c>
      <c r="AA106" s="341">
        <v>-131523</v>
      </c>
      <c r="AB106" s="341">
        <v>0</v>
      </c>
      <c r="AC106" s="341">
        <v>0</v>
      </c>
      <c r="AD106" s="341">
        <v>0</v>
      </c>
      <c r="AE106" s="341">
        <v>0</v>
      </c>
      <c r="AF106" s="341">
        <v>0</v>
      </c>
      <c r="AG106" s="210">
        <f t="shared" si="26"/>
        <v>-131523</v>
      </c>
      <c r="AH106" s="207" t="str">
        <f t="shared" si="27"/>
        <v>OK</v>
      </c>
    </row>
    <row r="107" spans="1:34" ht="55.5" customHeight="1">
      <c r="A107" s="66">
        <v>95</v>
      </c>
      <c r="B107" s="89"/>
      <c r="C107" s="91"/>
      <c r="D107" s="51" t="s">
        <v>283</v>
      </c>
      <c r="E107" s="38" t="s">
        <v>670</v>
      </c>
      <c r="F107" s="131">
        <v>1209064</v>
      </c>
      <c r="G107" s="198">
        <v>1209064</v>
      </c>
      <c r="H107" s="193">
        <v>603871</v>
      </c>
      <c r="I107" s="206">
        <v>0</v>
      </c>
      <c r="J107" s="206">
        <v>595100</v>
      </c>
      <c r="K107" s="231">
        <f>G107-H107-I107-J107</f>
        <v>10093</v>
      </c>
      <c r="L107" s="131">
        <v>1395004</v>
      </c>
      <c r="M107" s="177">
        <f>F107*0.35</f>
        <v>423172.39999999997</v>
      </c>
      <c r="N107" s="33">
        <f>Q107+R107+S107+T107</f>
        <v>-423172</v>
      </c>
      <c r="O107" s="46">
        <v>5774883</v>
      </c>
      <c r="P107" s="119"/>
      <c r="Q107" s="47">
        <v>-211355</v>
      </c>
      <c r="R107" s="48">
        <v>0</v>
      </c>
      <c r="S107" s="48">
        <v>-208285</v>
      </c>
      <c r="T107" s="49">
        <v>-3532</v>
      </c>
      <c r="U107" s="119"/>
      <c r="V107" s="149"/>
      <c r="W107" s="129" t="s">
        <v>532</v>
      </c>
      <c r="X107" s="66" t="s">
        <v>421</v>
      </c>
      <c r="Y107" s="128">
        <f t="shared" si="25"/>
        <v>0</v>
      </c>
      <c r="AA107" s="341">
        <v>0</v>
      </c>
      <c r="AB107" s="341">
        <v>0</v>
      </c>
      <c r="AC107" s="341">
        <v>0</v>
      </c>
      <c r="AD107" s="341">
        <v>0</v>
      </c>
      <c r="AE107" s="341">
        <v>0</v>
      </c>
      <c r="AF107" s="341">
        <v>0</v>
      </c>
      <c r="AG107" s="210">
        <f t="shared" si="26"/>
        <v>0</v>
      </c>
      <c r="AH107" s="207" t="str">
        <f t="shared" si="27"/>
        <v>OK</v>
      </c>
    </row>
    <row r="108" spans="1:34" ht="107.25" customHeight="1">
      <c r="A108" s="66">
        <v>96</v>
      </c>
      <c r="B108" s="89"/>
      <c r="C108" s="91"/>
      <c r="D108" s="51" t="s">
        <v>284</v>
      </c>
      <c r="E108" s="38" t="s">
        <v>621</v>
      </c>
      <c r="F108" s="131">
        <v>151040</v>
      </c>
      <c r="G108" s="197">
        <v>151040</v>
      </c>
      <c r="H108" s="47">
        <v>0</v>
      </c>
      <c r="I108" s="48">
        <v>0</v>
      </c>
      <c r="J108" s="48">
        <v>149700</v>
      </c>
      <c r="K108" s="232">
        <f>G108-H108-I108-J108</f>
        <v>1340</v>
      </c>
      <c r="L108" s="131">
        <v>173610</v>
      </c>
      <c r="M108" s="177">
        <f>F108*0.35</f>
        <v>52864</v>
      </c>
      <c r="N108" s="33">
        <f>Q108+R108+S108+T108</f>
        <v>-52864</v>
      </c>
      <c r="O108" s="46">
        <v>5774883</v>
      </c>
      <c r="P108" s="119"/>
      <c r="Q108" s="47">
        <v>0</v>
      </c>
      <c r="R108" s="48">
        <v>0</v>
      </c>
      <c r="S108" s="48">
        <v>-52395</v>
      </c>
      <c r="T108" s="49">
        <v>-469</v>
      </c>
      <c r="U108" s="119"/>
      <c r="V108" s="149"/>
      <c r="W108" s="129" t="s">
        <v>532</v>
      </c>
      <c r="X108" s="66" t="s">
        <v>421</v>
      </c>
      <c r="Y108" s="128">
        <f t="shared" si="25"/>
        <v>0</v>
      </c>
      <c r="AA108" s="341">
        <v>0</v>
      </c>
      <c r="AB108" s="341">
        <v>0</v>
      </c>
      <c r="AC108" s="341">
        <v>0</v>
      </c>
      <c r="AD108" s="341">
        <v>0</v>
      </c>
      <c r="AE108" s="341">
        <v>0</v>
      </c>
      <c r="AF108" s="341">
        <v>0</v>
      </c>
      <c r="AG108" s="210">
        <f t="shared" si="26"/>
        <v>0</v>
      </c>
      <c r="AH108" s="207" t="str">
        <f t="shared" si="27"/>
        <v>OK</v>
      </c>
    </row>
    <row r="109" spans="1:34" ht="58.5" customHeight="1">
      <c r="A109" s="66">
        <v>97</v>
      </c>
      <c r="B109" s="89"/>
      <c r="C109" s="92"/>
      <c r="D109" s="38" t="s">
        <v>750</v>
      </c>
      <c r="E109" s="38"/>
      <c r="F109" s="131">
        <v>23720</v>
      </c>
      <c r="G109" s="107">
        <v>23720</v>
      </c>
      <c r="H109" s="62"/>
      <c r="I109" s="62"/>
      <c r="J109" s="62"/>
      <c r="K109" s="329">
        <f>G109-H109-I109-J109</f>
        <v>23720</v>
      </c>
      <c r="L109" s="131">
        <v>19100</v>
      </c>
      <c r="M109" s="177">
        <f>F109*0.5</f>
        <v>11860</v>
      </c>
      <c r="N109" s="26">
        <f>Q109+R109+S109+T109</f>
        <v>-11860</v>
      </c>
      <c r="O109" s="46">
        <v>5774883</v>
      </c>
      <c r="P109" s="119"/>
      <c r="Q109" s="47">
        <v>0</v>
      </c>
      <c r="R109" s="48">
        <v>0</v>
      </c>
      <c r="S109" s="48">
        <v>0</v>
      </c>
      <c r="T109" s="49">
        <v>-11860</v>
      </c>
      <c r="U109" s="119"/>
      <c r="V109" s="149"/>
      <c r="W109" s="129" t="s">
        <v>533</v>
      </c>
      <c r="X109" s="66" t="s">
        <v>421</v>
      </c>
      <c r="Y109" s="128">
        <f t="shared" si="25"/>
        <v>0</v>
      </c>
      <c r="AA109" s="341"/>
      <c r="AB109" s="341"/>
      <c r="AC109" s="341"/>
      <c r="AD109" s="341"/>
      <c r="AE109" s="341"/>
      <c r="AF109" s="341"/>
      <c r="AG109" s="210">
        <f t="shared" si="26"/>
        <v>0</v>
      </c>
      <c r="AH109" s="207" t="str">
        <f t="shared" si="27"/>
        <v>OK</v>
      </c>
    </row>
    <row r="110" spans="1:34" ht="37.5" customHeight="1" thickBot="1">
      <c r="A110" s="66">
        <v>98</v>
      </c>
      <c r="B110" s="243"/>
      <c r="C110" s="90" t="s">
        <v>27</v>
      </c>
      <c r="D110" s="38" t="s">
        <v>622</v>
      </c>
      <c r="E110" s="38" t="s">
        <v>535</v>
      </c>
      <c r="F110" s="131">
        <v>5278</v>
      </c>
      <c r="G110" s="107"/>
      <c r="H110" s="107"/>
      <c r="I110" s="107"/>
      <c r="J110" s="107"/>
      <c r="K110" s="107"/>
      <c r="L110" s="131"/>
      <c r="M110" s="177"/>
      <c r="N110" s="26">
        <v>-5278</v>
      </c>
      <c r="O110" s="46"/>
      <c r="P110" s="119"/>
      <c r="Q110" s="47"/>
      <c r="R110" s="48"/>
      <c r="S110" s="48"/>
      <c r="T110" s="49">
        <v>-5278</v>
      </c>
      <c r="U110" s="119"/>
      <c r="V110" s="149"/>
      <c r="W110" s="129"/>
      <c r="X110" s="66" t="s">
        <v>421</v>
      </c>
      <c r="Y110" s="128">
        <f t="shared" si="25"/>
        <v>0</v>
      </c>
      <c r="AA110" s="341"/>
      <c r="AB110" s="341"/>
      <c r="AC110" s="341"/>
      <c r="AD110" s="341"/>
      <c r="AE110" s="341"/>
      <c r="AF110" s="341"/>
      <c r="AG110" s="210">
        <f t="shared" si="26"/>
        <v>0</v>
      </c>
      <c r="AH110" s="207" t="str">
        <f t="shared" si="27"/>
        <v>OK</v>
      </c>
    </row>
    <row r="111" spans="2:34" ht="31.5" customHeight="1" thickBot="1">
      <c r="B111" s="95"/>
      <c r="C111" s="69"/>
      <c r="D111" s="57"/>
      <c r="E111" s="57" t="s">
        <v>403</v>
      </c>
      <c r="F111" s="103">
        <f>SUM(F61:F110)</f>
        <v>110599779</v>
      </c>
      <c r="G111" s="103">
        <f aca="true" t="shared" si="28" ref="G111:T111">SUM(G61:G110)</f>
        <v>71871993</v>
      </c>
      <c r="H111" s="103">
        <f t="shared" si="28"/>
        <v>29459252</v>
      </c>
      <c r="I111" s="103">
        <f t="shared" si="28"/>
        <v>5393448</v>
      </c>
      <c r="J111" s="103">
        <f t="shared" si="28"/>
        <v>43078030</v>
      </c>
      <c r="K111" s="103">
        <f t="shared" si="28"/>
        <v>1465744</v>
      </c>
      <c r="L111" s="103">
        <f t="shared" si="28"/>
        <v>145082027</v>
      </c>
      <c r="M111" s="121">
        <f t="shared" si="28"/>
        <v>29511538.104999997</v>
      </c>
      <c r="N111" s="333">
        <f t="shared" si="28"/>
        <v>-59184284</v>
      </c>
      <c r="O111" s="58">
        <f t="shared" si="28"/>
        <v>165144516</v>
      </c>
      <c r="P111" s="121">
        <f t="shared" si="28"/>
        <v>0</v>
      </c>
      <c r="Q111" s="338">
        <f t="shared" si="28"/>
        <v>-11206318</v>
      </c>
      <c r="R111" s="105">
        <f t="shared" si="28"/>
        <v>-3616349</v>
      </c>
      <c r="S111" s="105">
        <f t="shared" si="28"/>
        <v>-42893220</v>
      </c>
      <c r="T111" s="106">
        <f t="shared" si="28"/>
        <v>-1468397</v>
      </c>
      <c r="U111" s="121"/>
      <c r="V111" s="106"/>
      <c r="W111" s="144"/>
      <c r="Y111" s="128">
        <f t="shared" si="25"/>
        <v>0</v>
      </c>
      <c r="AA111" s="333">
        <f aca="true" t="shared" si="29" ref="AA111:AF111">SUM(AA61:AA110)</f>
        <v>-1849399</v>
      </c>
      <c r="AB111" s="333">
        <f t="shared" si="29"/>
        <v>-4500</v>
      </c>
      <c r="AC111" s="333">
        <f t="shared" si="29"/>
        <v>0</v>
      </c>
      <c r="AD111" s="333">
        <f t="shared" si="29"/>
        <v>-300</v>
      </c>
      <c r="AE111" s="333">
        <f t="shared" si="29"/>
        <v>-1385000</v>
      </c>
      <c r="AF111" s="333">
        <f t="shared" si="29"/>
        <v>-377150</v>
      </c>
      <c r="AG111" s="210">
        <f t="shared" si="26"/>
        <v>-3616349</v>
      </c>
      <c r="AH111" s="207" t="str">
        <f t="shared" si="27"/>
        <v>OK</v>
      </c>
    </row>
    <row r="112" spans="1:34" ht="38.25" customHeight="1">
      <c r="A112" s="66">
        <v>99</v>
      </c>
      <c r="B112" s="102" t="s">
        <v>416</v>
      </c>
      <c r="C112" s="90" t="s">
        <v>397</v>
      </c>
      <c r="D112" s="38" t="s">
        <v>398</v>
      </c>
      <c r="E112" s="38" t="s">
        <v>399</v>
      </c>
      <c r="F112" s="131">
        <v>10912</v>
      </c>
      <c r="G112" s="197"/>
      <c r="H112" s="320"/>
      <c r="I112" s="187"/>
      <c r="J112" s="187"/>
      <c r="K112" s="189"/>
      <c r="L112" s="131">
        <v>7000</v>
      </c>
      <c r="M112" s="177">
        <f>F112*0.2</f>
        <v>2182.4</v>
      </c>
      <c r="N112" s="33">
        <v>-2000</v>
      </c>
      <c r="O112" s="46">
        <v>7000</v>
      </c>
      <c r="P112" s="119"/>
      <c r="Q112" s="47"/>
      <c r="R112" s="48"/>
      <c r="S112" s="48"/>
      <c r="T112" s="49">
        <v>-2000</v>
      </c>
      <c r="U112" s="119"/>
      <c r="V112" s="149"/>
      <c r="W112" s="129" t="s">
        <v>80</v>
      </c>
      <c r="X112" s="66" t="s">
        <v>421</v>
      </c>
      <c r="Y112" s="128">
        <f t="shared" si="25"/>
        <v>0</v>
      </c>
      <c r="AA112" s="156"/>
      <c r="AB112" s="156"/>
      <c r="AC112" s="156"/>
      <c r="AD112" s="156"/>
      <c r="AE112" s="156"/>
      <c r="AF112" s="156"/>
      <c r="AG112" s="210">
        <f t="shared" si="26"/>
        <v>0</v>
      </c>
      <c r="AH112" s="207" t="str">
        <f t="shared" si="27"/>
        <v>OK</v>
      </c>
    </row>
    <row r="113" spans="1:34" ht="42" customHeight="1" thickBot="1">
      <c r="A113" s="66">
        <v>100</v>
      </c>
      <c r="B113" s="312"/>
      <c r="C113" s="90" t="s">
        <v>400</v>
      </c>
      <c r="D113" s="38" t="s">
        <v>401</v>
      </c>
      <c r="E113" s="38" t="s">
        <v>402</v>
      </c>
      <c r="F113" s="131">
        <v>92000</v>
      </c>
      <c r="G113" s="197"/>
      <c r="H113" s="320"/>
      <c r="I113" s="187"/>
      <c r="J113" s="187"/>
      <c r="K113" s="189"/>
      <c r="L113" s="131">
        <v>92000</v>
      </c>
      <c r="M113" s="177"/>
      <c r="N113" s="33">
        <v>-46000</v>
      </c>
      <c r="O113" s="46">
        <v>92000</v>
      </c>
      <c r="P113" s="119"/>
      <c r="Q113" s="47">
        <v>-23000</v>
      </c>
      <c r="R113" s="48"/>
      <c r="S113" s="48"/>
      <c r="T113" s="49">
        <v>-23000</v>
      </c>
      <c r="U113" s="119"/>
      <c r="V113" s="149"/>
      <c r="W113" s="129" t="s">
        <v>165</v>
      </c>
      <c r="X113" s="66" t="s">
        <v>421</v>
      </c>
      <c r="Y113" s="128">
        <f t="shared" si="25"/>
        <v>0</v>
      </c>
      <c r="AA113" s="156"/>
      <c r="AB113" s="48"/>
      <c r="AC113" s="156"/>
      <c r="AD113" s="156"/>
      <c r="AE113" s="156"/>
      <c r="AF113" s="156"/>
      <c r="AG113" s="210">
        <f t="shared" si="26"/>
        <v>0</v>
      </c>
      <c r="AH113" s="207" t="str">
        <f t="shared" si="27"/>
        <v>OK</v>
      </c>
    </row>
    <row r="114" spans="2:34" ht="31.5" customHeight="1" thickBot="1">
      <c r="B114" s="95"/>
      <c r="C114" s="69"/>
      <c r="D114" s="57"/>
      <c r="E114" s="57" t="s">
        <v>403</v>
      </c>
      <c r="F114" s="103">
        <f>SUM(F112:F113)</f>
        <v>102912</v>
      </c>
      <c r="G114" s="103">
        <f aca="true" t="shared" si="30" ref="G114:T114">SUM(G112:G113)</f>
        <v>0</v>
      </c>
      <c r="H114" s="103">
        <f t="shared" si="30"/>
        <v>0</v>
      </c>
      <c r="I114" s="103">
        <f t="shared" si="30"/>
        <v>0</v>
      </c>
      <c r="J114" s="103">
        <f t="shared" si="30"/>
        <v>0</v>
      </c>
      <c r="K114" s="103">
        <f t="shared" si="30"/>
        <v>0</v>
      </c>
      <c r="L114" s="103">
        <f t="shared" si="30"/>
        <v>99000</v>
      </c>
      <c r="M114" s="121">
        <f t="shared" si="30"/>
        <v>2182.4</v>
      </c>
      <c r="N114" s="333">
        <f t="shared" si="30"/>
        <v>-48000</v>
      </c>
      <c r="O114" s="58">
        <f t="shared" si="30"/>
        <v>99000</v>
      </c>
      <c r="P114" s="121">
        <f t="shared" si="30"/>
        <v>0</v>
      </c>
      <c r="Q114" s="338">
        <f t="shared" si="30"/>
        <v>-23000</v>
      </c>
      <c r="R114" s="105">
        <f t="shared" si="30"/>
        <v>0</v>
      </c>
      <c r="S114" s="105">
        <f t="shared" si="30"/>
        <v>0</v>
      </c>
      <c r="T114" s="106">
        <f t="shared" si="30"/>
        <v>-25000</v>
      </c>
      <c r="U114" s="121"/>
      <c r="V114" s="106"/>
      <c r="W114" s="144"/>
      <c r="Y114" s="128">
        <f t="shared" si="25"/>
        <v>0</v>
      </c>
      <c r="AA114" s="333">
        <f aca="true" t="shared" si="31" ref="AA114:AF114">SUM(AA112:AA113)</f>
        <v>0</v>
      </c>
      <c r="AB114" s="333">
        <f t="shared" si="31"/>
        <v>0</v>
      </c>
      <c r="AC114" s="333">
        <f t="shared" si="31"/>
        <v>0</v>
      </c>
      <c r="AD114" s="333">
        <f t="shared" si="31"/>
        <v>0</v>
      </c>
      <c r="AE114" s="333">
        <f t="shared" si="31"/>
        <v>0</v>
      </c>
      <c r="AF114" s="333">
        <f t="shared" si="31"/>
        <v>0</v>
      </c>
      <c r="AG114" s="210">
        <f t="shared" si="26"/>
        <v>0</v>
      </c>
      <c r="AH114" s="207" t="str">
        <f t="shared" si="27"/>
        <v>OK</v>
      </c>
    </row>
    <row r="115" spans="1:34" ht="31.5" customHeight="1">
      <c r="A115" s="66">
        <v>101</v>
      </c>
      <c r="B115" s="88" t="s">
        <v>415</v>
      </c>
      <c r="C115" s="98" t="s">
        <v>571</v>
      </c>
      <c r="D115" s="38" t="s">
        <v>589</v>
      </c>
      <c r="E115" s="38"/>
      <c r="F115" s="131">
        <v>3355</v>
      </c>
      <c r="G115" s="197"/>
      <c r="H115" s="320"/>
      <c r="I115" s="187"/>
      <c r="J115" s="187"/>
      <c r="K115" s="189"/>
      <c r="L115" s="131">
        <v>5286</v>
      </c>
      <c r="M115" s="177"/>
      <c r="N115" s="334">
        <v>-3355</v>
      </c>
      <c r="O115" s="46"/>
      <c r="P115" s="177"/>
      <c r="Q115" s="320"/>
      <c r="R115" s="187"/>
      <c r="S115" s="187"/>
      <c r="T115" s="188">
        <v>-3355</v>
      </c>
      <c r="U115" s="177"/>
      <c r="V115" s="189"/>
      <c r="W115" s="129" t="s">
        <v>590</v>
      </c>
      <c r="X115" s="66" t="s">
        <v>421</v>
      </c>
      <c r="Y115" s="128">
        <f t="shared" si="25"/>
        <v>0</v>
      </c>
      <c r="AA115" s="156"/>
      <c r="AB115" s="156"/>
      <c r="AC115" s="156"/>
      <c r="AD115" s="156"/>
      <c r="AE115" s="156"/>
      <c r="AF115" s="156"/>
      <c r="AG115" s="210">
        <f t="shared" si="26"/>
        <v>0</v>
      </c>
      <c r="AH115" s="207" t="str">
        <f t="shared" si="27"/>
        <v>OK</v>
      </c>
    </row>
    <row r="116" spans="1:34" ht="60" customHeight="1">
      <c r="A116" s="66">
        <v>102</v>
      </c>
      <c r="B116" s="89"/>
      <c r="C116" s="92"/>
      <c r="D116" s="38" t="s">
        <v>572</v>
      </c>
      <c r="E116" s="38" t="s">
        <v>573</v>
      </c>
      <c r="F116" s="131">
        <v>908</v>
      </c>
      <c r="G116" s="197"/>
      <c r="H116" s="320"/>
      <c r="I116" s="187"/>
      <c r="J116" s="187"/>
      <c r="K116" s="189"/>
      <c r="L116" s="131"/>
      <c r="M116" s="177"/>
      <c r="N116" s="334">
        <v>-908</v>
      </c>
      <c r="O116" s="46"/>
      <c r="P116" s="177"/>
      <c r="Q116" s="320"/>
      <c r="R116" s="187"/>
      <c r="S116" s="187"/>
      <c r="T116" s="188">
        <v>-908</v>
      </c>
      <c r="U116" s="177"/>
      <c r="V116" s="189"/>
      <c r="W116" s="129"/>
      <c r="X116" s="66" t="s">
        <v>421</v>
      </c>
      <c r="Y116" s="128">
        <f t="shared" si="25"/>
        <v>0</v>
      </c>
      <c r="AA116" s="156"/>
      <c r="AB116" s="156"/>
      <c r="AC116" s="156"/>
      <c r="AD116" s="156"/>
      <c r="AE116" s="156"/>
      <c r="AF116" s="156"/>
      <c r="AG116" s="210">
        <f t="shared" si="26"/>
        <v>0</v>
      </c>
      <c r="AH116" s="207" t="str">
        <f t="shared" si="27"/>
        <v>OK</v>
      </c>
    </row>
    <row r="117" spans="1:35" ht="67.5" customHeight="1">
      <c r="A117" s="66">
        <v>103</v>
      </c>
      <c r="B117" s="89"/>
      <c r="C117" s="90" t="s">
        <v>423</v>
      </c>
      <c r="D117" s="51" t="s">
        <v>751</v>
      </c>
      <c r="E117" s="38" t="s">
        <v>574</v>
      </c>
      <c r="F117" s="131">
        <v>3248</v>
      </c>
      <c r="G117" s="131"/>
      <c r="H117" s="131"/>
      <c r="I117" s="131"/>
      <c r="J117" s="131"/>
      <c r="K117" s="131"/>
      <c r="L117" s="131">
        <v>5290</v>
      </c>
      <c r="M117" s="177"/>
      <c r="N117" s="332">
        <v>-3248</v>
      </c>
      <c r="O117" s="46">
        <v>2500</v>
      </c>
      <c r="P117" s="177"/>
      <c r="Q117" s="320"/>
      <c r="R117" s="187"/>
      <c r="S117" s="187"/>
      <c r="T117" s="188">
        <v>-3248</v>
      </c>
      <c r="U117" s="177"/>
      <c r="V117" s="189"/>
      <c r="W117" s="129" t="s">
        <v>298</v>
      </c>
      <c r="X117" s="66" t="s">
        <v>752</v>
      </c>
      <c r="Y117" s="128">
        <f t="shared" si="25"/>
        <v>0</v>
      </c>
      <c r="AE117" s="156"/>
      <c r="AF117" s="156"/>
      <c r="AG117" s="210">
        <f t="shared" si="26"/>
        <v>0</v>
      </c>
      <c r="AH117" s="207" t="str">
        <f t="shared" si="27"/>
        <v>OK</v>
      </c>
      <c r="AI117" s="156"/>
    </row>
    <row r="118" spans="1:34" ht="58.5" customHeight="1">
      <c r="A118" s="66">
        <v>104</v>
      </c>
      <c r="B118" s="89"/>
      <c r="C118" s="91"/>
      <c r="D118" s="38" t="s">
        <v>751</v>
      </c>
      <c r="E118" s="38" t="s">
        <v>575</v>
      </c>
      <c r="F118" s="131">
        <v>11696</v>
      </c>
      <c r="G118" s="107"/>
      <c r="H118" s="107"/>
      <c r="I118" s="107"/>
      <c r="J118" s="107"/>
      <c r="K118" s="107"/>
      <c r="L118" s="131"/>
      <c r="M118" s="177"/>
      <c r="N118" s="332">
        <v>-11696</v>
      </c>
      <c r="O118" s="46"/>
      <c r="P118" s="177"/>
      <c r="Q118" s="320"/>
      <c r="R118" s="187"/>
      <c r="S118" s="187"/>
      <c r="T118" s="188">
        <v>-11696</v>
      </c>
      <c r="U118" s="177"/>
      <c r="V118" s="189"/>
      <c r="W118" s="129"/>
      <c r="X118" s="66" t="s">
        <v>421</v>
      </c>
      <c r="Y118" s="128">
        <f t="shared" si="25"/>
        <v>0</v>
      </c>
      <c r="AA118" s="156"/>
      <c r="AB118" s="156"/>
      <c r="AC118" s="156"/>
      <c r="AD118" s="156"/>
      <c r="AE118" s="156"/>
      <c r="AF118" s="156"/>
      <c r="AG118" s="210">
        <f t="shared" si="26"/>
        <v>0</v>
      </c>
      <c r="AH118" s="207" t="str">
        <f t="shared" si="27"/>
        <v>OK</v>
      </c>
    </row>
    <row r="119" spans="1:34" ht="67.5" customHeight="1">
      <c r="A119" s="66">
        <v>105</v>
      </c>
      <c r="B119" s="89"/>
      <c r="C119" s="91"/>
      <c r="D119" s="38" t="s">
        <v>751</v>
      </c>
      <c r="E119" s="38" t="s">
        <v>577</v>
      </c>
      <c r="F119" s="131">
        <v>391167</v>
      </c>
      <c r="G119" s="197"/>
      <c r="H119" s="320"/>
      <c r="I119" s="187"/>
      <c r="J119" s="187"/>
      <c r="K119" s="189"/>
      <c r="L119" s="131"/>
      <c r="M119" s="177"/>
      <c r="N119" s="334">
        <v>-391167</v>
      </c>
      <c r="O119" s="46"/>
      <c r="P119" s="177"/>
      <c r="Q119" s="320">
        <v>-130389</v>
      </c>
      <c r="R119" s="187"/>
      <c r="S119" s="187"/>
      <c r="T119" s="188">
        <f>N119-Q119</f>
        <v>-260778</v>
      </c>
      <c r="U119" s="177"/>
      <c r="V119" s="189"/>
      <c r="W119" s="129"/>
      <c r="X119" s="66" t="s">
        <v>421</v>
      </c>
      <c r="Y119" s="128">
        <f t="shared" si="25"/>
        <v>0</v>
      </c>
      <c r="AA119" s="156"/>
      <c r="AB119" s="156"/>
      <c r="AC119" s="156"/>
      <c r="AD119" s="156"/>
      <c r="AE119" s="156"/>
      <c r="AF119" s="156"/>
      <c r="AG119" s="210">
        <f t="shared" si="26"/>
        <v>0</v>
      </c>
      <c r="AH119" s="207" t="str">
        <f t="shared" si="27"/>
        <v>OK</v>
      </c>
    </row>
    <row r="120" spans="1:34" ht="53.25" customHeight="1">
      <c r="A120" s="66">
        <v>106</v>
      </c>
      <c r="B120" s="89"/>
      <c r="C120" s="91"/>
      <c r="D120" s="38" t="s">
        <v>751</v>
      </c>
      <c r="E120" s="38" t="s">
        <v>578</v>
      </c>
      <c r="F120" s="131">
        <v>1000</v>
      </c>
      <c r="G120" s="197"/>
      <c r="H120" s="320"/>
      <c r="I120" s="187"/>
      <c r="J120" s="187"/>
      <c r="K120" s="189"/>
      <c r="L120" s="131"/>
      <c r="M120" s="177"/>
      <c r="N120" s="334">
        <v>-1000</v>
      </c>
      <c r="O120" s="46"/>
      <c r="P120" s="177"/>
      <c r="Q120" s="320"/>
      <c r="R120" s="187"/>
      <c r="S120" s="187"/>
      <c r="T120" s="188">
        <v>-1000</v>
      </c>
      <c r="U120" s="177"/>
      <c r="V120" s="189"/>
      <c r="W120" s="129"/>
      <c r="X120" s="66" t="s">
        <v>421</v>
      </c>
      <c r="Y120" s="128">
        <f t="shared" si="25"/>
        <v>0</v>
      </c>
      <c r="AA120" s="156"/>
      <c r="AB120" s="156"/>
      <c r="AC120" s="156"/>
      <c r="AD120" s="156"/>
      <c r="AE120" s="156"/>
      <c r="AF120" s="156"/>
      <c r="AG120" s="210">
        <f t="shared" si="26"/>
        <v>0</v>
      </c>
      <c r="AH120" s="207" t="str">
        <f t="shared" si="27"/>
        <v>OK</v>
      </c>
    </row>
    <row r="121" spans="1:35" ht="52.5" customHeight="1">
      <c r="A121" s="66">
        <v>107</v>
      </c>
      <c r="B121" s="89"/>
      <c r="C121" s="91"/>
      <c r="D121" s="38" t="s">
        <v>596</v>
      </c>
      <c r="E121" s="38" t="s">
        <v>597</v>
      </c>
      <c r="F121" s="131">
        <v>33762</v>
      </c>
      <c r="G121" s="197"/>
      <c r="H121" s="320"/>
      <c r="I121" s="187"/>
      <c r="J121" s="187"/>
      <c r="K121" s="189"/>
      <c r="L121" s="131">
        <v>38204</v>
      </c>
      <c r="M121" s="177"/>
      <c r="N121" s="334">
        <v>-33762</v>
      </c>
      <c r="O121" s="46"/>
      <c r="P121" s="177"/>
      <c r="Q121" s="320"/>
      <c r="R121" s="187"/>
      <c r="S121" s="187"/>
      <c r="T121" s="188">
        <v>-33762</v>
      </c>
      <c r="U121" s="177"/>
      <c r="V121" s="189"/>
      <c r="W121" s="129"/>
      <c r="X121" s="66" t="s">
        <v>421</v>
      </c>
      <c r="Y121" s="128">
        <f t="shared" si="25"/>
        <v>0</v>
      </c>
      <c r="AA121" s="156"/>
      <c r="AB121" s="156"/>
      <c r="AC121" s="156"/>
      <c r="AD121" s="156"/>
      <c r="AE121" s="156"/>
      <c r="AF121" s="156"/>
      <c r="AG121" s="210">
        <f t="shared" si="26"/>
        <v>0</v>
      </c>
      <c r="AH121" s="207" t="str">
        <f t="shared" si="27"/>
        <v>OK</v>
      </c>
      <c r="AI121" s="25"/>
    </row>
    <row r="122" spans="1:35" ht="52.5" customHeight="1">
      <c r="A122" s="66">
        <v>108</v>
      </c>
      <c r="B122" s="89"/>
      <c r="C122" s="92"/>
      <c r="D122" s="38" t="s">
        <v>591</v>
      </c>
      <c r="E122" s="38" t="s">
        <v>592</v>
      </c>
      <c r="F122" s="131">
        <v>568349</v>
      </c>
      <c r="G122" s="107"/>
      <c r="H122" s="107"/>
      <c r="I122" s="107"/>
      <c r="J122" s="107"/>
      <c r="K122" s="107"/>
      <c r="L122" s="131">
        <v>551521</v>
      </c>
      <c r="M122" s="177">
        <f>F122/3</f>
        <v>189449.66666666666</v>
      </c>
      <c r="N122" s="332">
        <v>-189000</v>
      </c>
      <c r="O122" s="46"/>
      <c r="P122" s="177"/>
      <c r="Q122" s="320"/>
      <c r="R122" s="187"/>
      <c r="S122" s="187"/>
      <c r="T122" s="188">
        <v>-189000</v>
      </c>
      <c r="U122" s="177"/>
      <c r="V122" s="189"/>
      <c r="W122" s="129" t="s">
        <v>428</v>
      </c>
      <c r="X122" s="66" t="s">
        <v>421</v>
      </c>
      <c r="Y122" s="128">
        <f t="shared" si="25"/>
        <v>0</v>
      </c>
      <c r="AA122" s="156"/>
      <c r="AB122" s="156"/>
      <c r="AC122" s="156"/>
      <c r="AD122" s="156"/>
      <c r="AE122" s="156"/>
      <c r="AF122" s="156"/>
      <c r="AG122" s="210">
        <f t="shared" si="26"/>
        <v>0</v>
      </c>
      <c r="AH122" s="207" t="str">
        <f t="shared" si="27"/>
        <v>OK</v>
      </c>
      <c r="AI122" s="25"/>
    </row>
    <row r="123" spans="1:34" ht="31.5" customHeight="1">
      <c r="A123" s="66">
        <v>109</v>
      </c>
      <c r="B123" s="89"/>
      <c r="C123" s="90" t="s">
        <v>213</v>
      </c>
      <c r="D123" s="38" t="s">
        <v>215</v>
      </c>
      <c r="E123" s="38" t="s">
        <v>44</v>
      </c>
      <c r="F123" s="131">
        <v>17971</v>
      </c>
      <c r="G123" s="197"/>
      <c r="H123" s="320"/>
      <c r="I123" s="187"/>
      <c r="J123" s="187"/>
      <c r="K123" s="189"/>
      <c r="L123" s="131">
        <v>14103</v>
      </c>
      <c r="M123" s="177"/>
      <c r="N123" s="33">
        <v>-17971</v>
      </c>
      <c r="O123" s="46"/>
      <c r="P123" s="119"/>
      <c r="Q123" s="47"/>
      <c r="R123" s="48">
        <v>-352</v>
      </c>
      <c r="S123" s="48"/>
      <c r="T123" s="49">
        <f>N123-R123</f>
        <v>-17619</v>
      </c>
      <c r="U123" s="119"/>
      <c r="V123" s="149"/>
      <c r="W123" s="129"/>
      <c r="X123" s="66" t="s">
        <v>421</v>
      </c>
      <c r="Y123" s="128">
        <f t="shared" si="25"/>
        <v>0</v>
      </c>
      <c r="AA123" s="156"/>
      <c r="AB123" s="156">
        <v>-352</v>
      </c>
      <c r="AC123" s="156"/>
      <c r="AD123" s="156"/>
      <c r="AE123" s="156"/>
      <c r="AF123" s="156"/>
      <c r="AG123" s="210">
        <f t="shared" si="26"/>
        <v>-352</v>
      </c>
      <c r="AH123" s="207" t="str">
        <f t="shared" si="27"/>
        <v>OK</v>
      </c>
    </row>
    <row r="124" spans="1:34" ht="55.5" customHeight="1">
      <c r="A124" s="66">
        <v>110</v>
      </c>
      <c r="B124" s="89"/>
      <c r="C124" s="92"/>
      <c r="D124" s="38" t="s">
        <v>214</v>
      </c>
      <c r="E124" s="38" t="s">
        <v>45</v>
      </c>
      <c r="F124" s="131">
        <v>19400</v>
      </c>
      <c r="G124" s="107"/>
      <c r="H124" s="107"/>
      <c r="I124" s="107"/>
      <c r="J124" s="107"/>
      <c r="K124" s="107"/>
      <c r="L124" s="131">
        <v>162128</v>
      </c>
      <c r="M124" s="177"/>
      <c r="N124" s="26">
        <v>-19400</v>
      </c>
      <c r="O124" s="46">
        <v>91581</v>
      </c>
      <c r="P124" s="119"/>
      <c r="Q124" s="47"/>
      <c r="R124" s="48"/>
      <c r="S124" s="48">
        <v>-19000</v>
      </c>
      <c r="T124" s="49">
        <v>-400</v>
      </c>
      <c r="U124" s="119"/>
      <c r="V124" s="149"/>
      <c r="W124" s="129" t="s">
        <v>198</v>
      </c>
      <c r="X124" s="66" t="s">
        <v>421</v>
      </c>
      <c r="Y124" s="128">
        <f t="shared" si="25"/>
        <v>0</v>
      </c>
      <c r="AA124" s="156"/>
      <c r="AB124" s="48"/>
      <c r="AC124" s="156"/>
      <c r="AD124" s="156"/>
      <c r="AE124" s="156"/>
      <c r="AF124" s="156"/>
      <c r="AG124" s="210">
        <f t="shared" si="26"/>
        <v>0</v>
      </c>
      <c r="AH124" s="207" t="str">
        <f t="shared" si="27"/>
        <v>OK</v>
      </c>
    </row>
    <row r="125" spans="1:34" ht="31.5" customHeight="1">
      <c r="A125" s="66">
        <v>111</v>
      </c>
      <c r="B125" s="89"/>
      <c r="C125" s="90" t="s">
        <v>424</v>
      </c>
      <c r="D125" s="38" t="s">
        <v>134</v>
      </c>
      <c r="E125" s="38" t="s">
        <v>135</v>
      </c>
      <c r="F125" s="131">
        <v>10182</v>
      </c>
      <c r="G125" s="197"/>
      <c r="H125" s="320"/>
      <c r="I125" s="187"/>
      <c r="J125" s="187"/>
      <c r="K125" s="189"/>
      <c r="L125" s="131">
        <v>11178</v>
      </c>
      <c r="M125" s="177"/>
      <c r="N125" s="33">
        <v>-10182</v>
      </c>
      <c r="O125" s="46">
        <v>13374</v>
      </c>
      <c r="P125" s="119"/>
      <c r="Q125" s="47"/>
      <c r="R125" s="48"/>
      <c r="S125" s="48"/>
      <c r="T125" s="49">
        <v>-10182</v>
      </c>
      <c r="U125" s="119"/>
      <c r="V125" s="149"/>
      <c r="W125" s="129" t="s">
        <v>72</v>
      </c>
      <c r="X125" s="66" t="s">
        <v>421</v>
      </c>
      <c r="Y125" s="128">
        <f t="shared" si="25"/>
        <v>0</v>
      </c>
      <c r="AA125" s="156"/>
      <c r="AB125" s="156"/>
      <c r="AC125" s="156"/>
      <c r="AD125" s="156"/>
      <c r="AE125" s="156"/>
      <c r="AF125" s="156"/>
      <c r="AG125" s="210">
        <f t="shared" si="26"/>
        <v>0</v>
      </c>
      <c r="AH125" s="207" t="str">
        <f t="shared" si="27"/>
        <v>OK</v>
      </c>
    </row>
    <row r="126" spans="1:34" ht="31.5" customHeight="1">
      <c r="A126" s="66">
        <v>112</v>
      </c>
      <c r="B126" s="89"/>
      <c r="C126" s="91"/>
      <c r="D126" s="38" t="s">
        <v>134</v>
      </c>
      <c r="E126" s="38" t="s">
        <v>623</v>
      </c>
      <c r="F126" s="131">
        <v>18600</v>
      </c>
      <c r="G126" s="197"/>
      <c r="H126" s="320"/>
      <c r="I126" s="187"/>
      <c r="J126" s="187"/>
      <c r="K126" s="189"/>
      <c r="L126" s="131">
        <v>19509</v>
      </c>
      <c r="M126" s="177"/>
      <c r="N126" s="26">
        <v>-18600</v>
      </c>
      <c r="O126" s="46">
        <v>19509</v>
      </c>
      <c r="P126" s="119"/>
      <c r="Q126" s="47"/>
      <c r="R126" s="48"/>
      <c r="S126" s="48"/>
      <c r="T126" s="49">
        <v>-18600</v>
      </c>
      <c r="U126" s="119"/>
      <c r="V126" s="149"/>
      <c r="W126" s="129" t="s">
        <v>58</v>
      </c>
      <c r="X126" s="66" t="s">
        <v>421</v>
      </c>
      <c r="Y126" s="128">
        <f t="shared" si="25"/>
        <v>0</v>
      </c>
      <c r="AA126" s="156"/>
      <c r="AB126" s="156"/>
      <c r="AC126" s="156"/>
      <c r="AD126" s="156"/>
      <c r="AE126" s="156"/>
      <c r="AF126" s="156"/>
      <c r="AG126" s="210">
        <f t="shared" si="26"/>
        <v>0</v>
      </c>
      <c r="AH126" s="207" t="str">
        <f t="shared" si="27"/>
        <v>OK</v>
      </c>
    </row>
    <row r="127" spans="1:35" ht="31.5" customHeight="1">
      <c r="A127" s="66">
        <v>113</v>
      </c>
      <c r="B127" s="89"/>
      <c r="C127" s="91"/>
      <c r="D127" s="51" t="s">
        <v>134</v>
      </c>
      <c r="E127" s="38" t="s">
        <v>580</v>
      </c>
      <c r="F127" s="131">
        <v>4421</v>
      </c>
      <c r="G127" s="131"/>
      <c r="H127" s="131"/>
      <c r="I127" s="131"/>
      <c r="J127" s="131"/>
      <c r="K127" s="131"/>
      <c r="L127" s="131">
        <v>4389</v>
      </c>
      <c r="M127" s="177"/>
      <c r="N127" s="26">
        <v>-4421</v>
      </c>
      <c r="O127" s="46">
        <v>3999</v>
      </c>
      <c r="P127" s="119"/>
      <c r="Q127" s="47"/>
      <c r="R127" s="48"/>
      <c r="S127" s="48"/>
      <c r="T127" s="49">
        <v>-4421</v>
      </c>
      <c r="U127" s="119"/>
      <c r="V127" s="149"/>
      <c r="W127" s="129" t="s">
        <v>72</v>
      </c>
      <c r="X127" s="66" t="s">
        <v>752</v>
      </c>
      <c r="Y127" s="128">
        <f t="shared" si="25"/>
        <v>0</v>
      </c>
      <c r="AE127" s="25"/>
      <c r="AF127" s="25"/>
      <c r="AG127" s="210">
        <f t="shared" si="26"/>
        <v>0</v>
      </c>
      <c r="AH127" s="207" t="str">
        <f t="shared" si="27"/>
        <v>OK</v>
      </c>
      <c r="AI127" s="25"/>
    </row>
    <row r="128" spans="1:34" ht="41.25" customHeight="1">
      <c r="A128" s="66">
        <v>114</v>
      </c>
      <c r="B128" s="89"/>
      <c r="C128" s="91"/>
      <c r="D128" s="38" t="s">
        <v>134</v>
      </c>
      <c r="E128" s="38" t="s">
        <v>582</v>
      </c>
      <c r="F128" s="131">
        <v>25246</v>
      </c>
      <c r="G128" s="197"/>
      <c r="H128" s="320"/>
      <c r="I128" s="187"/>
      <c r="J128" s="187"/>
      <c r="K128" s="189"/>
      <c r="L128" s="131">
        <v>17216</v>
      </c>
      <c r="M128" s="177"/>
      <c r="N128" s="33">
        <v>-25246</v>
      </c>
      <c r="O128" s="46">
        <v>17216</v>
      </c>
      <c r="P128" s="119"/>
      <c r="Q128" s="47"/>
      <c r="R128" s="48"/>
      <c r="S128" s="48"/>
      <c r="T128" s="49">
        <v>-25246</v>
      </c>
      <c r="U128" s="119"/>
      <c r="V128" s="149"/>
      <c r="W128" s="129" t="s">
        <v>72</v>
      </c>
      <c r="X128" s="66" t="s">
        <v>421</v>
      </c>
      <c r="Y128" s="128">
        <f t="shared" si="25"/>
        <v>0</v>
      </c>
      <c r="AA128" s="156"/>
      <c r="AB128" s="156"/>
      <c r="AC128" s="156"/>
      <c r="AD128" s="156"/>
      <c r="AE128" s="156"/>
      <c r="AF128" s="156"/>
      <c r="AG128" s="210">
        <f t="shared" si="26"/>
        <v>0</v>
      </c>
      <c r="AH128" s="207" t="str">
        <f t="shared" si="27"/>
        <v>OK</v>
      </c>
    </row>
    <row r="129" spans="1:34" ht="41.25" customHeight="1">
      <c r="A129" s="66">
        <v>115</v>
      </c>
      <c r="B129" s="89"/>
      <c r="C129" s="91"/>
      <c r="D129" s="38" t="s">
        <v>134</v>
      </c>
      <c r="E129" s="38" t="s">
        <v>583</v>
      </c>
      <c r="F129" s="131">
        <v>790</v>
      </c>
      <c r="G129" s="197"/>
      <c r="H129" s="320"/>
      <c r="I129" s="187"/>
      <c r="J129" s="187"/>
      <c r="K129" s="189"/>
      <c r="L129" s="131"/>
      <c r="M129" s="177"/>
      <c r="N129" s="33">
        <v>-790</v>
      </c>
      <c r="O129" s="46"/>
      <c r="P129" s="119"/>
      <c r="Q129" s="47"/>
      <c r="R129" s="48"/>
      <c r="S129" s="48"/>
      <c r="T129" s="49">
        <v>-790</v>
      </c>
      <c r="U129" s="119"/>
      <c r="V129" s="149"/>
      <c r="W129" s="129" t="s">
        <v>72</v>
      </c>
      <c r="X129" s="66" t="s">
        <v>421</v>
      </c>
      <c r="Y129" s="128">
        <f t="shared" si="25"/>
        <v>0</v>
      </c>
      <c r="AA129" s="156"/>
      <c r="AB129" s="156"/>
      <c r="AC129" s="156"/>
      <c r="AD129" s="156"/>
      <c r="AE129" s="156"/>
      <c r="AF129" s="156"/>
      <c r="AG129" s="210">
        <f t="shared" si="26"/>
        <v>0</v>
      </c>
      <c r="AH129" s="207" t="str">
        <f t="shared" si="27"/>
        <v>OK</v>
      </c>
    </row>
    <row r="130" spans="1:34" ht="42.75" customHeight="1">
      <c r="A130" s="66">
        <v>116</v>
      </c>
      <c r="B130" s="89"/>
      <c r="C130" s="91"/>
      <c r="D130" s="38" t="s">
        <v>134</v>
      </c>
      <c r="E130" s="38" t="s">
        <v>581</v>
      </c>
      <c r="F130" s="131">
        <v>9523</v>
      </c>
      <c r="G130" s="107"/>
      <c r="H130" s="107"/>
      <c r="I130" s="107"/>
      <c r="J130" s="107"/>
      <c r="K130" s="107"/>
      <c r="L130" s="131">
        <v>9697</v>
      </c>
      <c r="M130" s="177"/>
      <c r="N130" s="26">
        <v>-9523</v>
      </c>
      <c r="O130" s="46">
        <v>4294</v>
      </c>
      <c r="P130" s="119"/>
      <c r="Q130" s="47"/>
      <c r="R130" s="48"/>
      <c r="S130" s="48"/>
      <c r="T130" s="49">
        <v>-9523</v>
      </c>
      <c r="U130" s="119"/>
      <c r="V130" s="149"/>
      <c r="W130" s="129" t="s">
        <v>747</v>
      </c>
      <c r="X130" s="66" t="s">
        <v>421</v>
      </c>
      <c r="Y130" s="128">
        <f t="shared" si="25"/>
        <v>0</v>
      </c>
      <c r="AA130" s="156"/>
      <c r="AB130" s="156"/>
      <c r="AC130" s="156"/>
      <c r="AD130" s="156"/>
      <c r="AE130" s="156"/>
      <c r="AF130" s="156"/>
      <c r="AG130" s="210">
        <f t="shared" si="26"/>
        <v>0</v>
      </c>
      <c r="AH130" s="207" t="str">
        <f t="shared" si="27"/>
        <v>OK</v>
      </c>
    </row>
    <row r="131" spans="1:34" ht="43.5" customHeight="1" thickBot="1">
      <c r="A131" s="66">
        <v>117</v>
      </c>
      <c r="B131" s="243"/>
      <c r="C131" s="240"/>
      <c r="D131" s="51" t="s">
        <v>385</v>
      </c>
      <c r="E131" s="38"/>
      <c r="F131" s="131">
        <v>5768</v>
      </c>
      <c r="G131" s="107"/>
      <c r="H131" s="107"/>
      <c r="I131" s="107"/>
      <c r="J131" s="107"/>
      <c r="K131" s="107"/>
      <c r="L131" s="131">
        <v>7690</v>
      </c>
      <c r="M131" s="177">
        <f>F131*0.5</f>
        <v>2884</v>
      </c>
      <c r="N131" s="26">
        <v>-1900</v>
      </c>
      <c r="O131" s="46">
        <v>42500</v>
      </c>
      <c r="P131" s="119"/>
      <c r="Q131" s="47"/>
      <c r="R131" s="48"/>
      <c r="S131" s="48"/>
      <c r="T131" s="49">
        <v>-1900</v>
      </c>
      <c r="U131" s="119"/>
      <c r="V131" s="149"/>
      <c r="W131" s="129" t="s">
        <v>95</v>
      </c>
      <c r="X131" s="66" t="s">
        <v>421</v>
      </c>
      <c r="Y131" s="128">
        <f t="shared" si="25"/>
        <v>0</v>
      </c>
      <c r="AA131" s="156"/>
      <c r="AB131" s="156"/>
      <c r="AC131" s="156"/>
      <c r="AD131" s="156"/>
      <c r="AE131" s="156"/>
      <c r="AF131" s="156"/>
      <c r="AG131" s="210">
        <f t="shared" si="26"/>
        <v>0</v>
      </c>
      <c r="AH131" s="207" t="str">
        <f t="shared" si="27"/>
        <v>OK</v>
      </c>
    </row>
    <row r="132" spans="2:34" ht="31.5" customHeight="1" thickBot="1">
      <c r="B132" s="95"/>
      <c r="C132" s="69"/>
      <c r="D132" s="57"/>
      <c r="E132" s="57" t="s">
        <v>403</v>
      </c>
      <c r="F132" s="103">
        <f>SUM(F115:F131)</f>
        <v>1125386</v>
      </c>
      <c r="G132" s="103">
        <f aca="true" t="shared" si="32" ref="G132:T132">SUM(G115:G131)</f>
        <v>0</v>
      </c>
      <c r="H132" s="103">
        <f t="shared" si="32"/>
        <v>0</v>
      </c>
      <c r="I132" s="103">
        <f t="shared" si="32"/>
        <v>0</v>
      </c>
      <c r="J132" s="103">
        <f t="shared" si="32"/>
        <v>0</v>
      </c>
      <c r="K132" s="103">
        <f t="shared" si="32"/>
        <v>0</v>
      </c>
      <c r="L132" s="103">
        <f t="shared" si="32"/>
        <v>846211</v>
      </c>
      <c r="M132" s="121">
        <f t="shared" si="32"/>
        <v>192333.66666666666</v>
      </c>
      <c r="N132" s="333">
        <f t="shared" si="32"/>
        <v>-742169</v>
      </c>
      <c r="O132" s="58">
        <f t="shared" si="32"/>
        <v>194973</v>
      </c>
      <c r="P132" s="121">
        <f t="shared" si="32"/>
        <v>0</v>
      </c>
      <c r="Q132" s="338">
        <f t="shared" si="32"/>
        <v>-130389</v>
      </c>
      <c r="R132" s="105">
        <f t="shared" si="32"/>
        <v>-352</v>
      </c>
      <c r="S132" s="105">
        <f t="shared" si="32"/>
        <v>-19000</v>
      </c>
      <c r="T132" s="106">
        <f t="shared" si="32"/>
        <v>-592428</v>
      </c>
      <c r="U132" s="121"/>
      <c r="V132" s="106"/>
      <c r="W132" s="144"/>
      <c r="Y132" s="128">
        <f t="shared" si="25"/>
        <v>0</v>
      </c>
      <c r="AA132" s="333">
        <f aca="true" t="shared" si="33" ref="AA132:AF132">SUM(AA115:AA131)</f>
        <v>0</v>
      </c>
      <c r="AB132" s="333">
        <f t="shared" si="33"/>
        <v>-352</v>
      </c>
      <c r="AC132" s="333">
        <f t="shared" si="33"/>
        <v>0</v>
      </c>
      <c r="AD132" s="333">
        <f t="shared" si="33"/>
        <v>0</v>
      </c>
      <c r="AE132" s="333">
        <f t="shared" si="33"/>
        <v>0</v>
      </c>
      <c r="AF132" s="333">
        <f t="shared" si="33"/>
        <v>0</v>
      </c>
      <c r="AG132" s="210">
        <f t="shared" si="26"/>
        <v>-352</v>
      </c>
      <c r="AH132" s="207" t="str">
        <f t="shared" si="27"/>
        <v>OK</v>
      </c>
    </row>
    <row r="133" spans="1:34" ht="39.75" customHeight="1" thickBot="1">
      <c r="A133" s="66">
        <v>118</v>
      </c>
      <c r="B133" s="102" t="s">
        <v>673</v>
      </c>
      <c r="C133" s="90" t="s">
        <v>673</v>
      </c>
      <c r="D133" s="51" t="s">
        <v>673</v>
      </c>
      <c r="E133" s="38"/>
      <c r="F133" s="131">
        <v>1000000</v>
      </c>
      <c r="G133" s="107"/>
      <c r="H133" s="107"/>
      <c r="I133" s="107"/>
      <c r="J133" s="107"/>
      <c r="K133" s="107"/>
      <c r="L133" s="131">
        <v>1000000</v>
      </c>
      <c r="M133" s="177"/>
      <c r="N133" s="26">
        <v>-500000</v>
      </c>
      <c r="O133" s="46">
        <v>1000000</v>
      </c>
      <c r="P133" s="119"/>
      <c r="Q133" s="47"/>
      <c r="R133" s="48"/>
      <c r="S133" s="48"/>
      <c r="T133" s="49">
        <v>-500000</v>
      </c>
      <c r="U133" s="119"/>
      <c r="V133" s="149"/>
      <c r="W133" s="129"/>
      <c r="X133" s="66" t="s">
        <v>421</v>
      </c>
      <c r="Y133" s="128">
        <f t="shared" si="25"/>
        <v>0</v>
      </c>
      <c r="AA133" s="156"/>
      <c r="AB133" s="156"/>
      <c r="AC133" s="156"/>
      <c r="AD133" s="156"/>
      <c r="AE133" s="156"/>
      <c r="AF133" s="156"/>
      <c r="AG133" s="210">
        <f t="shared" si="26"/>
        <v>0</v>
      </c>
      <c r="AH133" s="207" t="str">
        <f t="shared" si="27"/>
        <v>OK</v>
      </c>
    </row>
    <row r="134" spans="2:34" ht="31.5" customHeight="1" thickBot="1">
      <c r="B134" s="95"/>
      <c r="C134" s="69"/>
      <c r="D134" s="57"/>
      <c r="E134" s="57" t="s">
        <v>403</v>
      </c>
      <c r="F134" s="103">
        <f aca="true" t="shared" si="34" ref="F134:T134">SUM(F133:F133)</f>
        <v>1000000</v>
      </c>
      <c r="G134" s="103">
        <f t="shared" si="34"/>
        <v>0</v>
      </c>
      <c r="H134" s="103">
        <f t="shared" si="34"/>
        <v>0</v>
      </c>
      <c r="I134" s="103">
        <f t="shared" si="34"/>
        <v>0</v>
      </c>
      <c r="J134" s="103">
        <f t="shared" si="34"/>
        <v>0</v>
      </c>
      <c r="K134" s="103">
        <f t="shared" si="34"/>
        <v>0</v>
      </c>
      <c r="L134" s="103">
        <f t="shared" si="34"/>
        <v>1000000</v>
      </c>
      <c r="M134" s="121">
        <f t="shared" si="34"/>
        <v>0</v>
      </c>
      <c r="N134" s="333">
        <f t="shared" si="34"/>
        <v>-500000</v>
      </c>
      <c r="O134" s="58">
        <f t="shared" si="34"/>
        <v>1000000</v>
      </c>
      <c r="P134" s="121">
        <f t="shared" si="34"/>
        <v>0</v>
      </c>
      <c r="Q134" s="338">
        <f t="shared" si="34"/>
        <v>0</v>
      </c>
      <c r="R134" s="105">
        <f t="shared" si="34"/>
        <v>0</v>
      </c>
      <c r="S134" s="105">
        <f t="shared" si="34"/>
        <v>0</v>
      </c>
      <c r="T134" s="106">
        <f t="shared" si="34"/>
        <v>-500000</v>
      </c>
      <c r="U134" s="121"/>
      <c r="V134" s="106"/>
      <c r="W134" s="144"/>
      <c r="Y134" s="128">
        <f t="shared" si="25"/>
        <v>0</v>
      </c>
      <c r="AA134" s="333">
        <f aca="true" t="shared" si="35" ref="AA134:AF134">(SUM(AA133:AA133))+(SUM(AA133:AA133))</f>
        <v>0</v>
      </c>
      <c r="AB134" s="333">
        <f t="shared" si="35"/>
        <v>0</v>
      </c>
      <c r="AC134" s="333">
        <f t="shared" si="35"/>
        <v>0</v>
      </c>
      <c r="AD134" s="333">
        <f t="shared" si="35"/>
        <v>0</v>
      </c>
      <c r="AE134" s="333">
        <f t="shared" si="35"/>
        <v>0</v>
      </c>
      <c r="AF134" s="333">
        <f t="shared" si="35"/>
        <v>0</v>
      </c>
      <c r="AG134" s="210">
        <f>SUM(AA134:AF134)</f>
        <v>0</v>
      </c>
      <c r="AH134" s="207" t="str">
        <f>IF(R134=AG134,"OK","OUT")</f>
        <v>OK</v>
      </c>
    </row>
    <row r="135" spans="2:35" ht="31.5" customHeight="1" thickBot="1">
      <c r="B135" s="109"/>
      <c r="C135" s="65"/>
      <c r="D135" s="65"/>
      <c r="E135" s="138" t="s">
        <v>156</v>
      </c>
      <c r="F135" s="212">
        <f aca="true" t="shared" si="36" ref="F135:M135">F7+F28+F32+F36+F41+F51+F60+F111+F114+F132+F134</f>
        <v>150898867</v>
      </c>
      <c r="G135" s="111">
        <f t="shared" si="36"/>
        <v>93216899</v>
      </c>
      <c r="H135" s="111">
        <f t="shared" si="36"/>
        <v>38355574</v>
      </c>
      <c r="I135" s="111">
        <f t="shared" si="36"/>
        <v>9010919</v>
      </c>
      <c r="J135" s="111">
        <f t="shared" si="36"/>
        <v>47634830</v>
      </c>
      <c r="K135" s="111">
        <f t="shared" si="36"/>
        <v>5740057</v>
      </c>
      <c r="L135" s="111">
        <f t="shared" si="36"/>
        <v>190560953</v>
      </c>
      <c r="M135" s="213">
        <f t="shared" si="36"/>
        <v>38630824.27166666</v>
      </c>
      <c r="N135" s="31">
        <f>N7+N28+N32+N36+N41+N51+N60+N111+N114+N132+N134</f>
        <v>-78134288</v>
      </c>
      <c r="O135" s="110">
        <f aca="true" t="shared" si="37" ref="O135:T135">O7+O28+O32+O36+O41+O51+O60+O111+O114+O132+O134</f>
        <v>198591134</v>
      </c>
      <c r="P135" s="114">
        <f t="shared" si="37"/>
        <v>-2918426</v>
      </c>
      <c r="Q135" s="110">
        <f t="shared" si="37"/>
        <v>-15224162</v>
      </c>
      <c r="R135" s="111">
        <f t="shared" si="37"/>
        <v>-7087238</v>
      </c>
      <c r="S135" s="111">
        <f t="shared" si="37"/>
        <v>-44382040</v>
      </c>
      <c r="T135" s="112">
        <f t="shared" si="37"/>
        <v>-11440848</v>
      </c>
      <c r="U135" s="114"/>
      <c r="V135" s="112"/>
      <c r="W135" s="87"/>
      <c r="Y135" s="128">
        <f t="shared" si="25"/>
        <v>0</v>
      </c>
      <c r="AA135" s="112">
        <f aca="true" t="shared" si="38" ref="AA135:AF135">AA7+AA28+AA32+AA36+AA41+AA51+AA60+AA111+AA114+AA132+AA134</f>
        <v>-2947290</v>
      </c>
      <c r="AB135" s="112">
        <f t="shared" si="38"/>
        <v>-6814</v>
      </c>
      <c r="AC135" s="112">
        <f t="shared" si="38"/>
        <v>-100</v>
      </c>
      <c r="AD135" s="112">
        <f t="shared" si="38"/>
        <v>-300</v>
      </c>
      <c r="AE135" s="112">
        <f t="shared" si="38"/>
        <v>-3086596</v>
      </c>
      <c r="AF135" s="112">
        <f t="shared" si="38"/>
        <v>-1046138</v>
      </c>
      <c r="AG135" s="210">
        <f>SUM(AA135:AF135)</f>
        <v>-7087238</v>
      </c>
      <c r="AH135" s="234" t="str">
        <f>IF(R135=AG135,"OK","OUT")</f>
        <v>OK</v>
      </c>
      <c r="AI135" s="66">
        <f>SUM(AI9:AI133)</f>
        <v>-663627</v>
      </c>
    </row>
    <row r="136" ht="13.5">
      <c r="AH136" s="207"/>
    </row>
    <row r="137" spans="18:34" ht="13.5">
      <c r="R137" s="25"/>
      <c r="S137" s="25"/>
      <c r="T137" s="25"/>
      <c r="U137" s="25"/>
      <c r="V137" s="25"/>
      <c r="W137" s="146"/>
      <c r="AH137" s="207"/>
    </row>
    <row r="138" spans="14:25" ht="14.25" hidden="1" thickBot="1">
      <c r="N138" s="76" t="e">
        <f>#REF!+#REF!+N44+N45+#REF!+#REF!+N46+N47+#REF!+#REF!+#REF!+N63+N67+#REF!+#REF!+#REF!+#REF!+'08増額'!N55</f>
        <v>#REF!</v>
      </c>
      <c r="O138" s="76"/>
      <c r="P138" s="76"/>
      <c r="Q138" s="76" t="e">
        <f>#REF!+#REF!+Q44+Q45+#REF!+#REF!+Q46+Q47+#REF!+#REF!+#REF!+Q63+Q67+#REF!+#REF!+#REF!+#REF!+'08増額'!Q55</f>
        <v>#REF!</v>
      </c>
      <c r="R138" s="115"/>
      <c r="S138" s="115"/>
      <c r="T138" s="115"/>
      <c r="U138" s="115"/>
      <c r="V138" s="115"/>
      <c r="W138" s="146"/>
      <c r="X138" s="114" t="e">
        <f>#REF!+X67+#REF!+X81+#REF!+X104+'08増額'!X42+#REF!+X136+X137</f>
        <v>#REF!</v>
      </c>
      <c r="Y138" s="76" t="e">
        <f>N138-Q138-R138-S138-T138</f>
        <v>#REF!</v>
      </c>
    </row>
    <row r="139" spans="14:25" ht="13.5">
      <c r="N139" s="76"/>
      <c r="O139" s="76"/>
      <c r="P139" s="76"/>
      <c r="Q139" s="76"/>
      <c r="R139" s="115"/>
      <c r="S139" s="115"/>
      <c r="T139" s="25"/>
      <c r="U139" s="115"/>
      <c r="V139" s="115"/>
      <c r="W139" s="146"/>
      <c r="X139" s="113"/>
      <c r="Y139" s="76"/>
    </row>
    <row r="140" spans="18:25" ht="13.5">
      <c r="R140" s="25"/>
      <c r="S140" s="25"/>
      <c r="T140" s="25"/>
      <c r="U140" s="25"/>
      <c r="V140" s="25"/>
      <c r="W140" s="146"/>
      <c r="Y140" s="76"/>
    </row>
    <row r="141" spans="14:25" ht="13.5" hidden="1">
      <c r="N141" s="76" t="e">
        <f>N135-N138</f>
        <v>#REF!</v>
      </c>
      <c r="O141" s="76"/>
      <c r="P141" s="76"/>
      <c r="Q141" s="76" t="e">
        <f>Q135-Q138</f>
        <v>#REF!</v>
      </c>
      <c r="R141" s="115"/>
      <c r="S141" s="115"/>
      <c r="T141" s="115"/>
      <c r="U141" s="115"/>
      <c r="V141" s="115"/>
      <c r="W141" s="146"/>
      <c r="Y141" s="76" t="e">
        <f>N141-Q141-R141-S141-T141</f>
        <v>#REF!</v>
      </c>
    </row>
    <row r="142" spans="18:23" ht="13.5">
      <c r="R142" s="25"/>
      <c r="S142" s="25"/>
      <c r="T142" s="25"/>
      <c r="U142" s="25"/>
      <c r="V142" s="25"/>
      <c r="W142" s="146"/>
    </row>
    <row r="143" spans="18:23" ht="13.5">
      <c r="R143" s="25"/>
      <c r="S143" s="25"/>
      <c r="T143" s="116"/>
      <c r="U143" s="25"/>
      <c r="V143" s="25"/>
      <c r="W143" s="146"/>
    </row>
    <row r="144" spans="18:23" ht="13.5">
      <c r="R144" s="25"/>
      <c r="S144" s="25"/>
      <c r="T144" s="62"/>
      <c r="U144" s="25"/>
      <c r="V144" s="25"/>
      <c r="W144" s="146"/>
    </row>
    <row r="145" spans="18:23" ht="13.5">
      <c r="R145" s="25"/>
      <c r="S145" s="25"/>
      <c r="T145" s="117"/>
      <c r="U145" s="25"/>
      <c r="V145" s="25"/>
      <c r="W145" s="146"/>
    </row>
    <row r="146" spans="18:23" ht="13.5">
      <c r="R146" s="854"/>
      <c r="S146" s="854"/>
      <c r="T146" s="117"/>
      <c r="U146" s="25"/>
      <c r="V146" s="25"/>
      <c r="W146" s="146"/>
    </row>
  </sheetData>
  <mergeCells count="3">
    <mergeCell ref="H4:K4"/>
    <mergeCell ref="Q4:T4"/>
    <mergeCell ref="R146:S146"/>
  </mergeCells>
  <printOptions/>
  <pageMargins left="0.36" right="0.28" top="0.29" bottom="0.28" header="0.34" footer="0.21"/>
  <pageSetup horizontalDpi="600" verticalDpi="600" orientation="portrait" paperSize="9" scale="95" r:id="rId1"/>
  <colBreaks count="1" manualBreakCount="1">
    <brk id="24" max="65535" man="1"/>
  </colBreaks>
</worksheet>
</file>

<file path=xl/worksheets/sheet15.xml><?xml version="1.0" encoding="utf-8"?>
<worksheet xmlns="http://schemas.openxmlformats.org/spreadsheetml/2006/main" xmlns:r="http://schemas.openxmlformats.org/officeDocument/2006/relationships">
  <dimension ref="A1:AI61"/>
  <sheetViews>
    <sheetView workbookViewId="0" topLeftCell="A1">
      <pane xSplit="5" ySplit="4" topLeftCell="F54" activePane="bottomRight" state="frozen"/>
      <selection pane="topLeft" activeCell="A1" sqref="A1"/>
      <selection pane="topRight" activeCell="E1" sqref="E1"/>
      <selection pane="bottomLeft" activeCell="A5" sqref="A5"/>
      <selection pane="bottomRight" activeCell="D63" sqref="D63"/>
    </sheetView>
  </sheetViews>
  <sheetFormatPr defaultColWidth="9.00390625" defaultRowHeight="13.5"/>
  <cols>
    <col min="1" max="1" width="4.875" style="0" customWidth="1"/>
    <col min="2" max="2" width="3.50390625" style="0" customWidth="1"/>
    <col min="3" max="3" width="4.875" style="0" customWidth="1"/>
    <col min="5" max="5" width="10.625" style="0" customWidth="1"/>
    <col min="6" max="6" width="10.25390625" style="0" bestFit="1" customWidth="1"/>
    <col min="7" max="13" width="0" style="0" hidden="1" customWidth="1"/>
    <col min="14" max="14" width="14.50390625" style="0" customWidth="1"/>
    <col min="15" max="15" width="0" style="0" hidden="1" customWidth="1"/>
    <col min="16" max="16" width="2.25390625" style="0" hidden="1" customWidth="1"/>
    <col min="17" max="17" width="11.125" style="0" customWidth="1"/>
    <col min="18" max="18" width="10.50390625" style="0" customWidth="1"/>
    <col min="19" max="19" width="11.00390625" style="0" customWidth="1"/>
    <col min="20" max="20" width="9.125" style="0" bestFit="1" customWidth="1"/>
    <col min="21" max="21" width="5.625" style="0" customWidth="1"/>
    <col min="22" max="22" width="0" style="0" hidden="1" customWidth="1"/>
    <col min="25" max="25" width="9.125" style="0" bestFit="1" customWidth="1"/>
    <col min="27" max="33" width="9.125" style="0" bestFit="1" customWidth="1"/>
  </cols>
  <sheetData>
    <row r="1" spans="3:23" s="66" customFormat="1" ht="17.25" customHeight="1">
      <c r="C1" s="73"/>
      <c r="D1" s="74" t="s">
        <v>158</v>
      </c>
      <c r="E1" s="75" t="s">
        <v>614</v>
      </c>
      <c r="F1" s="75"/>
      <c r="G1" s="75"/>
      <c r="H1" s="75"/>
      <c r="I1" s="75"/>
      <c r="J1" s="75"/>
      <c r="K1" s="75"/>
      <c r="L1" s="75"/>
      <c r="M1" s="75"/>
      <c r="N1" s="76"/>
      <c r="O1" s="76"/>
      <c r="P1" s="76"/>
      <c r="R1" s="76"/>
      <c r="S1" s="76"/>
      <c r="T1" s="77" t="s">
        <v>123</v>
      </c>
      <c r="U1" s="77"/>
      <c r="V1" s="77"/>
      <c r="W1" s="141"/>
    </row>
    <row r="2" spans="3:23" s="66" customFormat="1" ht="17.25" customHeight="1" thickBot="1">
      <c r="C2" s="73"/>
      <c r="D2" s="73"/>
      <c r="N2" s="78" t="s">
        <v>122</v>
      </c>
      <c r="O2" s="78"/>
      <c r="P2" s="78"/>
      <c r="R2" s="79"/>
      <c r="S2" s="80"/>
      <c r="T2" s="80"/>
      <c r="U2" s="81"/>
      <c r="V2" s="81"/>
      <c r="W2" s="141"/>
    </row>
    <row r="3" spans="2:35" s="66" customFormat="1" ht="21.75" customHeight="1">
      <c r="B3" s="82" t="s">
        <v>138</v>
      </c>
      <c r="C3" s="83" t="s">
        <v>157</v>
      </c>
      <c r="D3" s="84" t="s">
        <v>435</v>
      </c>
      <c r="E3" s="136" t="s">
        <v>120</v>
      </c>
      <c r="F3" s="223" t="s">
        <v>119</v>
      </c>
      <c r="G3" s="224"/>
      <c r="H3" s="879" t="s">
        <v>117</v>
      </c>
      <c r="I3" s="852"/>
      <c r="J3" s="852"/>
      <c r="K3" s="853"/>
      <c r="L3" s="223" t="s">
        <v>119</v>
      </c>
      <c r="M3" s="224"/>
      <c r="N3" s="225" t="s">
        <v>118</v>
      </c>
      <c r="O3" s="226" t="s">
        <v>119</v>
      </c>
      <c r="P3" s="225" t="s">
        <v>118</v>
      </c>
      <c r="Q3" s="879" t="s">
        <v>117</v>
      </c>
      <c r="R3" s="852"/>
      <c r="S3" s="852"/>
      <c r="T3" s="853"/>
      <c r="U3" s="84"/>
      <c r="V3" s="84"/>
      <c r="W3" s="86" t="s">
        <v>116</v>
      </c>
      <c r="Y3" s="28" t="s">
        <v>803</v>
      </c>
      <c r="AA3" s="127" t="s">
        <v>140</v>
      </c>
      <c r="AB3" s="127" t="s">
        <v>142</v>
      </c>
      <c r="AC3" s="127" t="s">
        <v>681</v>
      </c>
      <c r="AD3" s="127" t="s">
        <v>288</v>
      </c>
      <c r="AE3" s="127" t="s">
        <v>778</v>
      </c>
      <c r="AF3" s="127" t="s">
        <v>683</v>
      </c>
      <c r="AG3" s="127"/>
      <c r="AH3" s="127" t="s">
        <v>802</v>
      </c>
      <c r="AI3" s="127" t="s">
        <v>42</v>
      </c>
    </row>
    <row r="4" spans="2:23" s="66" customFormat="1" ht="21.75" customHeight="1" thickBot="1">
      <c r="B4" s="122"/>
      <c r="C4" s="123"/>
      <c r="D4" s="124"/>
      <c r="E4" s="137"/>
      <c r="F4" s="227" t="s">
        <v>445</v>
      </c>
      <c r="G4" s="123"/>
      <c r="H4" s="200" t="s">
        <v>115</v>
      </c>
      <c r="I4" s="201" t="s">
        <v>114</v>
      </c>
      <c r="J4" s="201" t="s">
        <v>113</v>
      </c>
      <c r="K4" s="202" t="s">
        <v>112</v>
      </c>
      <c r="L4" s="227" t="s">
        <v>62</v>
      </c>
      <c r="M4" s="123" t="s">
        <v>446</v>
      </c>
      <c r="N4" s="228"/>
      <c r="O4" s="229" t="s">
        <v>59</v>
      </c>
      <c r="P4" s="228"/>
      <c r="Q4" s="200" t="s">
        <v>115</v>
      </c>
      <c r="R4" s="201" t="s">
        <v>114</v>
      </c>
      <c r="S4" s="201" t="s">
        <v>113</v>
      </c>
      <c r="T4" s="202" t="s">
        <v>112</v>
      </c>
      <c r="U4" s="124"/>
      <c r="V4" s="124"/>
      <c r="W4" s="87"/>
    </row>
    <row r="5" spans="1:34" s="66" customFormat="1" ht="31.5" customHeight="1">
      <c r="A5" s="66">
        <v>1</v>
      </c>
      <c r="B5" s="88" t="s">
        <v>52</v>
      </c>
      <c r="C5" s="90" t="s">
        <v>28</v>
      </c>
      <c r="D5" s="51" t="s">
        <v>29</v>
      </c>
      <c r="E5" s="38" t="s">
        <v>30</v>
      </c>
      <c r="F5" s="131" t="s">
        <v>442</v>
      </c>
      <c r="G5" s="197"/>
      <c r="H5" s="320"/>
      <c r="I5" s="187"/>
      <c r="J5" s="187"/>
      <c r="K5" s="189"/>
      <c r="L5" s="131" t="s">
        <v>442</v>
      </c>
      <c r="M5" s="177"/>
      <c r="N5" s="33">
        <v>53366</v>
      </c>
      <c r="O5" s="335"/>
      <c r="P5" s="119"/>
      <c r="Q5" s="47"/>
      <c r="R5" s="48">
        <v>53366</v>
      </c>
      <c r="S5" s="48"/>
      <c r="T5" s="49"/>
      <c r="U5" s="149"/>
      <c r="V5" s="49"/>
      <c r="W5" s="129" t="s">
        <v>164</v>
      </c>
      <c r="X5" s="66" t="s">
        <v>425</v>
      </c>
      <c r="Y5" s="128">
        <f aca="true" t="shared" si="0" ref="Y5:Y36">N5-Q5-R5-S5-T5</f>
        <v>0</v>
      </c>
      <c r="AA5" s="156"/>
      <c r="AB5" s="156"/>
      <c r="AC5" s="156"/>
      <c r="AD5" s="156"/>
      <c r="AE5" s="48">
        <v>53366</v>
      </c>
      <c r="AF5" s="156"/>
      <c r="AG5" s="210">
        <f>SUM(AA5:AF5)</f>
        <v>53366</v>
      </c>
      <c r="AH5" s="207" t="str">
        <f>IF(R5=AG5,"OK","OUT")</f>
        <v>OK</v>
      </c>
    </row>
    <row r="6" spans="1:34" s="66" customFormat="1" ht="55.5" customHeight="1">
      <c r="A6" s="66">
        <v>2</v>
      </c>
      <c r="B6" s="89"/>
      <c r="C6" s="90" t="s">
        <v>448</v>
      </c>
      <c r="D6" s="51" t="s">
        <v>449</v>
      </c>
      <c r="E6" s="38"/>
      <c r="F6" s="131">
        <v>24429</v>
      </c>
      <c r="G6" s="107"/>
      <c r="H6" s="107"/>
      <c r="I6" s="107"/>
      <c r="J6" s="107"/>
      <c r="K6" s="107"/>
      <c r="L6" s="131">
        <v>33127</v>
      </c>
      <c r="M6" s="177">
        <f>L6-F6</f>
        <v>8698</v>
      </c>
      <c r="N6" s="26">
        <v>9000</v>
      </c>
      <c r="O6" s="335"/>
      <c r="P6" s="119"/>
      <c r="Q6" s="47"/>
      <c r="R6" s="48"/>
      <c r="S6" s="48"/>
      <c r="T6" s="49">
        <v>9000</v>
      </c>
      <c r="U6" s="149"/>
      <c r="V6" s="49"/>
      <c r="W6" s="129" t="s">
        <v>453</v>
      </c>
      <c r="X6" s="66" t="s">
        <v>425</v>
      </c>
      <c r="Y6" s="128">
        <f t="shared" si="0"/>
        <v>0</v>
      </c>
      <c r="AA6" s="156"/>
      <c r="AB6" s="156"/>
      <c r="AC6" s="156"/>
      <c r="AD6" s="156"/>
      <c r="AE6" s="48"/>
      <c r="AF6" s="156"/>
      <c r="AG6" s="210">
        <f>SUM(AA6:AF6)</f>
        <v>0</v>
      </c>
      <c r="AH6" s="207" t="str">
        <f>IF(R6=AG6,"OK","OUT")</f>
        <v>OK</v>
      </c>
    </row>
    <row r="7" spans="1:34" s="66" customFormat="1" ht="55.5" customHeight="1" thickBot="1">
      <c r="A7" s="66">
        <v>3</v>
      </c>
      <c r="B7" s="243"/>
      <c r="C7" s="90" t="s">
        <v>450</v>
      </c>
      <c r="D7" s="51" t="s">
        <v>451</v>
      </c>
      <c r="E7" s="38" t="s">
        <v>452</v>
      </c>
      <c r="F7" s="131">
        <v>23927</v>
      </c>
      <c r="G7" s="107"/>
      <c r="H7" s="107"/>
      <c r="I7" s="107"/>
      <c r="J7" s="107"/>
      <c r="K7" s="107"/>
      <c r="L7" s="131">
        <v>28438</v>
      </c>
      <c r="M7" s="177">
        <f>L7-F7</f>
        <v>4511</v>
      </c>
      <c r="N7" s="26">
        <v>4511</v>
      </c>
      <c r="O7" s="335"/>
      <c r="P7" s="119"/>
      <c r="Q7" s="47"/>
      <c r="R7" s="48"/>
      <c r="S7" s="48"/>
      <c r="T7" s="49">
        <v>4511</v>
      </c>
      <c r="U7" s="149"/>
      <c r="V7" s="49"/>
      <c r="W7" s="129" t="s">
        <v>453</v>
      </c>
      <c r="X7" s="66" t="s">
        <v>425</v>
      </c>
      <c r="Y7" s="128">
        <f t="shared" si="0"/>
        <v>0</v>
      </c>
      <c r="AA7" s="156"/>
      <c r="AB7" s="156"/>
      <c r="AC7" s="156"/>
      <c r="AD7" s="156"/>
      <c r="AE7" s="48"/>
      <c r="AF7" s="156"/>
      <c r="AG7" s="210">
        <f>SUM(AA7:AF7)</f>
        <v>0</v>
      </c>
      <c r="AH7" s="207" t="str">
        <f>IF(R7=AG7,"OK","OUT")</f>
        <v>OK</v>
      </c>
    </row>
    <row r="8" spans="2:34" s="66" customFormat="1" ht="31.5" customHeight="1" thickBot="1">
      <c r="B8" s="95"/>
      <c r="C8" s="69"/>
      <c r="D8" s="57"/>
      <c r="E8" s="57" t="s">
        <v>403</v>
      </c>
      <c r="F8" s="103">
        <f>SUM(F5:F7)</f>
        <v>48356</v>
      </c>
      <c r="G8" s="103">
        <f aca="true" t="shared" si="1" ref="G8:T8">SUM(G5:G7)</f>
        <v>0</v>
      </c>
      <c r="H8" s="103">
        <f t="shared" si="1"/>
        <v>0</v>
      </c>
      <c r="I8" s="103">
        <f t="shared" si="1"/>
        <v>0</v>
      </c>
      <c r="J8" s="103">
        <f t="shared" si="1"/>
        <v>0</v>
      </c>
      <c r="K8" s="103">
        <f t="shared" si="1"/>
        <v>0</v>
      </c>
      <c r="L8" s="103">
        <f t="shared" si="1"/>
        <v>61565</v>
      </c>
      <c r="M8" s="121">
        <f t="shared" si="1"/>
        <v>13209</v>
      </c>
      <c r="N8" s="333">
        <f t="shared" si="1"/>
        <v>66877</v>
      </c>
      <c r="O8" s="58">
        <f t="shared" si="1"/>
        <v>0</v>
      </c>
      <c r="P8" s="121">
        <f t="shared" si="1"/>
        <v>0</v>
      </c>
      <c r="Q8" s="338">
        <f t="shared" si="1"/>
        <v>0</v>
      </c>
      <c r="R8" s="105">
        <f t="shared" si="1"/>
        <v>53366</v>
      </c>
      <c r="S8" s="105">
        <f t="shared" si="1"/>
        <v>0</v>
      </c>
      <c r="T8" s="106">
        <f t="shared" si="1"/>
        <v>13511</v>
      </c>
      <c r="U8" s="106"/>
      <c r="V8" s="370"/>
      <c r="W8" s="144"/>
      <c r="Y8" s="128">
        <f t="shared" si="0"/>
        <v>0</v>
      </c>
      <c r="AA8" s="333">
        <f aca="true" t="shared" si="2" ref="AA8:AF8">SUM(AA5:AA7)</f>
        <v>0</v>
      </c>
      <c r="AB8" s="333">
        <f t="shared" si="2"/>
        <v>0</v>
      </c>
      <c r="AC8" s="333">
        <f t="shared" si="2"/>
        <v>0</v>
      </c>
      <c r="AD8" s="333">
        <f t="shared" si="2"/>
        <v>0</v>
      </c>
      <c r="AE8" s="333">
        <f t="shared" si="2"/>
        <v>53366</v>
      </c>
      <c r="AF8" s="333">
        <f t="shared" si="2"/>
        <v>0</v>
      </c>
      <c r="AG8" s="210">
        <f>SUM(AA8:AF8)</f>
        <v>53366</v>
      </c>
      <c r="AH8" s="207" t="str">
        <f>IF(R8=AG8,"OK","OUT")</f>
        <v>OK</v>
      </c>
    </row>
    <row r="9" spans="1:34" s="66" customFormat="1" ht="43.5" customHeight="1">
      <c r="A9" s="66">
        <v>4</v>
      </c>
      <c r="B9" s="88" t="s">
        <v>438</v>
      </c>
      <c r="C9" s="90" t="s">
        <v>439</v>
      </c>
      <c r="D9" s="56" t="s">
        <v>456</v>
      </c>
      <c r="E9" s="38" t="s">
        <v>457</v>
      </c>
      <c r="F9" s="131">
        <v>449976</v>
      </c>
      <c r="G9" s="107"/>
      <c r="H9" s="107"/>
      <c r="I9" s="107"/>
      <c r="J9" s="107"/>
      <c r="K9" s="107"/>
      <c r="L9" s="131">
        <v>611733</v>
      </c>
      <c r="M9" s="177">
        <f>L9-F9</f>
        <v>161757</v>
      </c>
      <c r="N9" s="26">
        <v>80000</v>
      </c>
      <c r="O9" s="46"/>
      <c r="P9" s="119"/>
      <c r="Q9" s="47"/>
      <c r="R9" s="48"/>
      <c r="S9" s="48"/>
      <c r="T9" s="49">
        <v>80000</v>
      </c>
      <c r="U9" s="149"/>
      <c r="V9" s="49"/>
      <c r="W9" s="129" t="s">
        <v>458</v>
      </c>
      <c r="X9" s="66" t="s">
        <v>425</v>
      </c>
      <c r="Y9" s="128">
        <f t="shared" si="0"/>
        <v>0</v>
      </c>
      <c r="AA9" s="156"/>
      <c r="AB9" s="156"/>
      <c r="AC9" s="156"/>
      <c r="AD9" s="156"/>
      <c r="AE9" s="156"/>
      <c r="AF9" s="156"/>
      <c r="AG9" s="210">
        <f>SUM(AA9:AF9)</f>
        <v>0</v>
      </c>
      <c r="AH9" s="207" t="str">
        <f>IF(R9=AG9,"OK","OUT")</f>
        <v>OK</v>
      </c>
    </row>
    <row r="10" spans="1:34" s="66" customFormat="1" ht="45.75" customHeight="1">
      <c r="A10" s="66">
        <v>5</v>
      </c>
      <c r="B10" s="89"/>
      <c r="C10" s="90" t="s">
        <v>387</v>
      </c>
      <c r="D10" s="51" t="s">
        <v>53</v>
      </c>
      <c r="E10" s="38" t="s">
        <v>82</v>
      </c>
      <c r="F10" s="131">
        <v>987587</v>
      </c>
      <c r="G10" s="107"/>
      <c r="H10" s="107"/>
      <c r="I10" s="107"/>
      <c r="J10" s="107"/>
      <c r="K10" s="107"/>
      <c r="L10" s="131"/>
      <c r="M10" s="177"/>
      <c r="N10" s="26">
        <v>3000</v>
      </c>
      <c r="O10" s="46"/>
      <c r="P10" s="119"/>
      <c r="Q10" s="47"/>
      <c r="R10" s="48"/>
      <c r="S10" s="48"/>
      <c r="T10" s="49">
        <v>3000</v>
      </c>
      <c r="U10" s="149"/>
      <c r="V10" s="49"/>
      <c r="W10" s="129" t="s">
        <v>83</v>
      </c>
      <c r="X10" s="66" t="s">
        <v>425</v>
      </c>
      <c r="Y10" s="128">
        <f t="shared" si="0"/>
        <v>0</v>
      </c>
      <c r="AA10" s="156"/>
      <c r="AB10" s="156"/>
      <c r="AC10" s="156"/>
      <c r="AD10" s="156"/>
      <c r="AE10" s="156"/>
      <c r="AF10" s="156"/>
      <c r="AG10" s="210"/>
      <c r="AH10" s="207"/>
    </row>
    <row r="11" spans="1:34" s="66" customFormat="1" ht="45.75" customHeight="1">
      <c r="A11" s="66">
        <v>6</v>
      </c>
      <c r="B11" s="89"/>
      <c r="C11" s="91"/>
      <c r="D11" s="38" t="s">
        <v>53</v>
      </c>
      <c r="E11" s="38" t="s">
        <v>81</v>
      </c>
      <c r="F11" s="131">
        <v>52204</v>
      </c>
      <c r="G11" s="107"/>
      <c r="H11" s="107"/>
      <c r="I11" s="107"/>
      <c r="J11" s="107"/>
      <c r="K11" s="107"/>
      <c r="L11" s="131">
        <v>55032</v>
      </c>
      <c r="M11" s="177"/>
      <c r="N11" s="26">
        <v>180000</v>
      </c>
      <c r="O11" s="46">
        <v>0</v>
      </c>
      <c r="P11" s="119"/>
      <c r="Q11" s="47"/>
      <c r="R11" s="48"/>
      <c r="S11" s="48"/>
      <c r="T11" s="49">
        <v>180000</v>
      </c>
      <c r="U11" s="149"/>
      <c r="V11" s="49"/>
      <c r="W11" s="38" t="s">
        <v>465</v>
      </c>
      <c r="X11" s="76" t="s">
        <v>425</v>
      </c>
      <c r="Y11" s="128">
        <f t="shared" si="0"/>
        <v>0</v>
      </c>
      <c r="AA11" s="156"/>
      <c r="AB11" s="156"/>
      <c r="AC11" s="156"/>
      <c r="AD11" s="156"/>
      <c r="AE11" s="156"/>
      <c r="AF11" s="347"/>
      <c r="AG11" s="210">
        <f aca="true" t="shared" si="3" ref="AG11:AG58">SUM(AA11:AF11)</f>
        <v>0</v>
      </c>
      <c r="AH11" s="207" t="str">
        <f aca="true" t="shared" si="4" ref="AH11:AH58">IF(R11=AG11,"OK","OUT")</f>
        <v>OK</v>
      </c>
    </row>
    <row r="12" spans="1:34" s="66" customFormat="1" ht="45.75" customHeight="1">
      <c r="A12" s="66">
        <v>7</v>
      </c>
      <c r="B12" s="89"/>
      <c r="C12" s="91"/>
      <c r="D12" s="51" t="s">
        <v>466</v>
      </c>
      <c r="E12" s="38" t="s">
        <v>467</v>
      </c>
      <c r="F12" s="131">
        <v>193896</v>
      </c>
      <c r="G12" s="197"/>
      <c r="H12" s="320"/>
      <c r="I12" s="187"/>
      <c r="J12" s="187"/>
      <c r="K12" s="189"/>
      <c r="L12" s="131">
        <v>229368</v>
      </c>
      <c r="M12" s="177">
        <f>L12-F12</f>
        <v>35472</v>
      </c>
      <c r="N12" s="33">
        <v>35000</v>
      </c>
      <c r="O12" s="46"/>
      <c r="P12" s="119"/>
      <c r="Q12" s="47"/>
      <c r="R12" s="48"/>
      <c r="S12" s="48"/>
      <c r="T12" s="49">
        <v>35000</v>
      </c>
      <c r="U12" s="149"/>
      <c r="V12" s="49"/>
      <c r="W12" s="38" t="s">
        <v>453</v>
      </c>
      <c r="X12" s="76" t="s">
        <v>425</v>
      </c>
      <c r="Y12" s="128">
        <f t="shared" si="0"/>
        <v>0</v>
      </c>
      <c r="AA12" s="156"/>
      <c r="AB12" s="156"/>
      <c r="AC12" s="156"/>
      <c r="AD12" s="156"/>
      <c r="AE12" s="156"/>
      <c r="AF12" s="347"/>
      <c r="AG12" s="210">
        <f t="shared" si="3"/>
        <v>0</v>
      </c>
      <c r="AH12" s="207" t="str">
        <f t="shared" si="4"/>
        <v>OK</v>
      </c>
    </row>
    <row r="13" spans="1:34" s="66" customFormat="1" ht="57" customHeight="1">
      <c r="A13" s="66">
        <v>8</v>
      </c>
      <c r="B13" s="89"/>
      <c r="C13" s="91"/>
      <c r="D13" s="51" t="s">
        <v>37</v>
      </c>
      <c r="E13" s="38" t="s">
        <v>426</v>
      </c>
      <c r="F13" s="131">
        <v>5209675</v>
      </c>
      <c r="G13" s="197"/>
      <c r="H13" s="320"/>
      <c r="I13" s="187"/>
      <c r="J13" s="187"/>
      <c r="K13" s="189"/>
      <c r="L13" s="131">
        <v>4813090</v>
      </c>
      <c r="M13" s="177"/>
      <c r="N13" s="33">
        <v>1203000</v>
      </c>
      <c r="O13" s="46">
        <v>4897809</v>
      </c>
      <c r="P13" s="119"/>
      <c r="Q13" s="47"/>
      <c r="R13" s="48"/>
      <c r="S13" s="48"/>
      <c r="T13" s="49">
        <v>1203000</v>
      </c>
      <c r="U13" s="149"/>
      <c r="V13" s="49"/>
      <c r="W13" s="129" t="s">
        <v>468</v>
      </c>
      <c r="X13" s="66" t="s">
        <v>425</v>
      </c>
      <c r="Y13" s="128">
        <f t="shared" si="0"/>
        <v>0</v>
      </c>
      <c r="AA13" s="156"/>
      <c r="AB13" s="156"/>
      <c r="AC13" s="156"/>
      <c r="AD13" s="156"/>
      <c r="AE13" s="156"/>
      <c r="AF13" s="156"/>
      <c r="AG13" s="210">
        <f t="shared" si="3"/>
        <v>0</v>
      </c>
      <c r="AH13" s="207" t="str">
        <f t="shared" si="4"/>
        <v>OK</v>
      </c>
    </row>
    <row r="14" spans="1:34" s="66" customFormat="1" ht="49.5" customHeight="1">
      <c r="A14" s="66">
        <v>9</v>
      </c>
      <c r="B14" s="89"/>
      <c r="C14" s="92"/>
      <c r="D14" s="38" t="s">
        <v>430</v>
      </c>
      <c r="E14" s="38" t="s">
        <v>689</v>
      </c>
      <c r="F14" s="131">
        <v>169612</v>
      </c>
      <c r="G14" s="107"/>
      <c r="H14" s="107"/>
      <c r="I14" s="107"/>
      <c r="J14" s="107"/>
      <c r="K14" s="107"/>
      <c r="L14" s="131">
        <v>263955</v>
      </c>
      <c r="M14" s="177"/>
      <c r="N14" s="26">
        <v>150000</v>
      </c>
      <c r="O14" s="46">
        <v>328655</v>
      </c>
      <c r="P14" s="119"/>
      <c r="Q14" s="47"/>
      <c r="R14" s="48"/>
      <c r="S14" s="48"/>
      <c r="T14" s="49">
        <v>150000</v>
      </c>
      <c r="U14" s="149"/>
      <c r="V14" s="49"/>
      <c r="W14" s="129" t="s">
        <v>299</v>
      </c>
      <c r="X14" s="66" t="s">
        <v>425</v>
      </c>
      <c r="Y14" s="128">
        <f t="shared" si="0"/>
        <v>0</v>
      </c>
      <c r="AA14" s="156"/>
      <c r="AB14" s="156"/>
      <c r="AC14" s="156"/>
      <c r="AD14" s="156"/>
      <c r="AE14" s="156"/>
      <c r="AF14" s="156"/>
      <c r="AG14" s="210">
        <f t="shared" si="3"/>
        <v>0</v>
      </c>
      <c r="AH14" s="207" t="str">
        <f t="shared" si="4"/>
        <v>OK</v>
      </c>
    </row>
    <row r="15" spans="1:34" s="66" customFormat="1" ht="51.75" customHeight="1">
      <c r="A15" s="66">
        <v>10</v>
      </c>
      <c r="B15" s="89"/>
      <c r="C15" s="90" t="s">
        <v>440</v>
      </c>
      <c r="D15" s="38" t="s">
        <v>431</v>
      </c>
      <c r="E15" s="38" t="s">
        <v>441</v>
      </c>
      <c r="F15" s="131" t="s">
        <v>518</v>
      </c>
      <c r="G15" s="197"/>
      <c r="H15" s="320"/>
      <c r="I15" s="187"/>
      <c r="J15" s="187"/>
      <c r="K15" s="189"/>
      <c r="L15" s="131">
        <v>8310</v>
      </c>
      <c r="M15" s="177"/>
      <c r="N15" s="33">
        <v>8310</v>
      </c>
      <c r="O15" s="46">
        <v>11910</v>
      </c>
      <c r="P15" s="119"/>
      <c r="Q15" s="47"/>
      <c r="R15" s="48"/>
      <c r="S15" s="48"/>
      <c r="T15" s="49">
        <v>8310</v>
      </c>
      <c r="U15" s="149"/>
      <c r="V15" s="49"/>
      <c r="W15" s="129" t="s">
        <v>243</v>
      </c>
      <c r="X15" s="66" t="s">
        <v>425</v>
      </c>
      <c r="Y15" s="128">
        <f t="shared" si="0"/>
        <v>0</v>
      </c>
      <c r="AA15" s="156"/>
      <c r="AB15" s="156"/>
      <c r="AC15" s="156"/>
      <c r="AD15" s="156"/>
      <c r="AE15" s="156"/>
      <c r="AF15" s="156"/>
      <c r="AG15" s="210">
        <f t="shared" si="3"/>
        <v>0</v>
      </c>
      <c r="AH15" s="207" t="str">
        <f t="shared" si="4"/>
        <v>OK</v>
      </c>
    </row>
    <row r="16" spans="1:34" s="66" customFormat="1" ht="40.5" customHeight="1">
      <c r="A16" s="66">
        <v>11</v>
      </c>
      <c r="B16" s="89"/>
      <c r="C16" s="91"/>
      <c r="D16" s="38" t="s">
        <v>431</v>
      </c>
      <c r="E16" s="38" t="s">
        <v>432</v>
      </c>
      <c r="F16" s="131">
        <v>35446</v>
      </c>
      <c r="G16" s="197"/>
      <c r="H16" s="320"/>
      <c r="I16" s="187"/>
      <c r="J16" s="187"/>
      <c r="K16" s="189"/>
      <c r="L16" s="131">
        <v>45057</v>
      </c>
      <c r="M16" s="177"/>
      <c r="N16" s="33">
        <v>18092</v>
      </c>
      <c r="O16" s="46">
        <v>49925</v>
      </c>
      <c r="P16" s="119"/>
      <c r="Q16" s="47"/>
      <c r="R16" s="48"/>
      <c r="S16" s="48"/>
      <c r="T16" s="49">
        <v>18092</v>
      </c>
      <c r="U16" s="149"/>
      <c r="V16" s="49"/>
      <c r="W16" s="129" t="s">
        <v>760</v>
      </c>
      <c r="X16" s="66" t="s">
        <v>425</v>
      </c>
      <c r="Y16" s="128">
        <f t="shared" si="0"/>
        <v>0</v>
      </c>
      <c r="AA16" s="156"/>
      <c r="AB16" s="156"/>
      <c r="AC16" s="156"/>
      <c r="AD16" s="156"/>
      <c r="AE16" s="156"/>
      <c r="AF16" s="156"/>
      <c r="AG16" s="210">
        <f t="shared" si="3"/>
        <v>0</v>
      </c>
      <c r="AH16" s="207" t="str">
        <f t="shared" si="4"/>
        <v>OK</v>
      </c>
    </row>
    <row r="17" spans="1:34" s="66" customFormat="1" ht="40.5" customHeight="1">
      <c r="A17" s="66">
        <v>12</v>
      </c>
      <c r="B17" s="89"/>
      <c r="C17" s="91"/>
      <c r="D17" s="38" t="s">
        <v>469</v>
      </c>
      <c r="E17" s="38" t="s">
        <v>21</v>
      </c>
      <c r="F17" s="131">
        <v>783</v>
      </c>
      <c r="G17" s="197"/>
      <c r="H17" s="320"/>
      <c r="I17" s="187"/>
      <c r="J17" s="187"/>
      <c r="K17" s="189"/>
      <c r="L17" s="131">
        <v>439760</v>
      </c>
      <c r="M17" s="177">
        <f>L17-F17</f>
        <v>438977</v>
      </c>
      <c r="N17" s="33">
        <v>390000</v>
      </c>
      <c r="O17" s="46"/>
      <c r="P17" s="119"/>
      <c r="Q17" s="47"/>
      <c r="R17" s="48"/>
      <c r="S17" s="48"/>
      <c r="T17" s="49">
        <v>390000</v>
      </c>
      <c r="U17" s="149"/>
      <c r="V17" s="49"/>
      <c r="W17" s="129" t="s">
        <v>297</v>
      </c>
      <c r="X17" s="66" t="s">
        <v>425</v>
      </c>
      <c r="Y17" s="128">
        <f t="shared" si="0"/>
        <v>0</v>
      </c>
      <c r="AA17" s="156"/>
      <c r="AB17" s="156"/>
      <c r="AC17" s="156"/>
      <c r="AD17" s="156"/>
      <c r="AE17" s="156"/>
      <c r="AF17" s="156"/>
      <c r="AG17" s="210">
        <f t="shared" si="3"/>
        <v>0</v>
      </c>
      <c r="AH17" s="207" t="str">
        <f t="shared" si="4"/>
        <v>OK</v>
      </c>
    </row>
    <row r="18" spans="1:34" s="66" customFormat="1" ht="40.5" customHeight="1">
      <c r="A18" s="66">
        <v>13</v>
      </c>
      <c r="B18" s="89"/>
      <c r="C18" s="92"/>
      <c r="D18" s="38" t="s">
        <v>470</v>
      </c>
      <c r="E18" s="38" t="s">
        <v>300</v>
      </c>
      <c r="F18" s="131" t="s">
        <v>442</v>
      </c>
      <c r="G18" s="197"/>
      <c r="H18" s="320"/>
      <c r="I18" s="187"/>
      <c r="J18" s="187"/>
      <c r="K18" s="189"/>
      <c r="L18" s="131"/>
      <c r="M18" s="177"/>
      <c r="N18" s="33">
        <v>700000</v>
      </c>
      <c r="O18" s="46"/>
      <c r="P18" s="119"/>
      <c r="Q18" s="47"/>
      <c r="R18" s="48"/>
      <c r="S18" s="48"/>
      <c r="T18" s="49">
        <v>700000</v>
      </c>
      <c r="U18" s="149"/>
      <c r="V18" s="49"/>
      <c r="W18" s="129" t="s">
        <v>239</v>
      </c>
      <c r="X18" s="66" t="s">
        <v>425</v>
      </c>
      <c r="Y18" s="128">
        <f t="shared" si="0"/>
        <v>0</v>
      </c>
      <c r="AA18" s="156"/>
      <c r="AB18" s="156"/>
      <c r="AC18" s="156"/>
      <c r="AD18" s="156"/>
      <c r="AE18" s="156"/>
      <c r="AF18" s="156"/>
      <c r="AG18" s="210">
        <f t="shared" si="3"/>
        <v>0</v>
      </c>
      <c r="AH18" s="207" t="str">
        <f t="shared" si="4"/>
        <v>OK</v>
      </c>
    </row>
    <row r="19" spans="1:34" s="66" customFormat="1" ht="40.5" customHeight="1">
      <c r="A19" s="66">
        <v>14</v>
      </c>
      <c r="B19" s="89"/>
      <c r="C19" s="90" t="s">
        <v>471</v>
      </c>
      <c r="D19" s="38" t="s">
        <v>471</v>
      </c>
      <c r="E19" s="38" t="s">
        <v>477</v>
      </c>
      <c r="F19" s="131">
        <v>10098</v>
      </c>
      <c r="G19" s="197"/>
      <c r="H19" s="320"/>
      <c r="I19" s="187"/>
      <c r="J19" s="187"/>
      <c r="K19" s="189"/>
      <c r="L19" s="131"/>
      <c r="M19" s="177"/>
      <c r="N19" s="33">
        <v>2500</v>
      </c>
      <c r="O19" s="46"/>
      <c r="P19" s="119"/>
      <c r="Q19" s="47"/>
      <c r="R19" s="48"/>
      <c r="S19" s="48"/>
      <c r="T19" s="49">
        <v>2500</v>
      </c>
      <c r="U19" s="149"/>
      <c r="V19" s="49"/>
      <c r="W19" s="129" t="s">
        <v>760</v>
      </c>
      <c r="X19" s="66" t="s">
        <v>425</v>
      </c>
      <c r="Y19" s="128">
        <f t="shared" si="0"/>
        <v>0</v>
      </c>
      <c r="AA19" s="156"/>
      <c r="AB19" s="156"/>
      <c r="AC19" s="156"/>
      <c r="AD19" s="156"/>
      <c r="AE19" s="156"/>
      <c r="AF19" s="156"/>
      <c r="AG19" s="210">
        <f t="shared" si="3"/>
        <v>0</v>
      </c>
      <c r="AH19" s="207" t="str">
        <f t="shared" si="4"/>
        <v>OK</v>
      </c>
    </row>
    <row r="20" spans="1:34" s="66" customFormat="1" ht="49.5" customHeight="1">
      <c r="A20" s="66">
        <v>15</v>
      </c>
      <c r="B20" s="89"/>
      <c r="C20" s="90" t="s">
        <v>84</v>
      </c>
      <c r="D20" s="38" t="s">
        <v>497</v>
      </c>
      <c r="E20" s="38" t="s">
        <v>498</v>
      </c>
      <c r="F20" s="131">
        <v>35889</v>
      </c>
      <c r="G20" s="197"/>
      <c r="H20" s="320"/>
      <c r="I20" s="187"/>
      <c r="J20" s="187"/>
      <c r="K20" s="189"/>
      <c r="L20" s="131">
        <v>37842</v>
      </c>
      <c r="M20" s="177">
        <f>L20-F20</f>
        <v>1953</v>
      </c>
      <c r="N20" s="26">
        <v>2500</v>
      </c>
      <c r="O20" s="46"/>
      <c r="P20" s="119"/>
      <c r="Q20" s="47"/>
      <c r="R20" s="48"/>
      <c r="S20" s="48"/>
      <c r="T20" s="49">
        <v>2500</v>
      </c>
      <c r="U20" s="149"/>
      <c r="V20" s="49"/>
      <c r="W20" s="129" t="s">
        <v>371</v>
      </c>
      <c r="X20" s="66" t="s">
        <v>425</v>
      </c>
      <c r="Y20" s="128">
        <f t="shared" si="0"/>
        <v>0</v>
      </c>
      <c r="AA20" s="156"/>
      <c r="AB20" s="156"/>
      <c r="AC20" s="156"/>
      <c r="AD20" s="156"/>
      <c r="AE20" s="156"/>
      <c r="AF20" s="156"/>
      <c r="AG20" s="210">
        <f t="shared" si="3"/>
        <v>0</v>
      </c>
      <c r="AH20" s="207" t="str">
        <f t="shared" si="4"/>
        <v>OK</v>
      </c>
    </row>
    <row r="21" spans="1:34" s="66" customFormat="1" ht="62.25" customHeight="1">
      <c r="A21" s="66">
        <v>16</v>
      </c>
      <c r="B21" s="89"/>
      <c r="C21" s="90" t="s">
        <v>680</v>
      </c>
      <c r="D21" s="38" t="s">
        <v>479</v>
      </c>
      <c r="E21" s="38" t="s">
        <v>480</v>
      </c>
      <c r="F21" s="131">
        <v>544450</v>
      </c>
      <c r="G21" s="107"/>
      <c r="H21" s="107"/>
      <c r="I21" s="107"/>
      <c r="J21" s="107"/>
      <c r="K21" s="107"/>
      <c r="L21" s="131">
        <v>664043</v>
      </c>
      <c r="M21" s="177">
        <f>L21-F21</f>
        <v>119593</v>
      </c>
      <c r="N21" s="26">
        <v>20000</v>
      </c>
      <c r="O21" s="46"/>
      <c r="P21" s="119"/>
      <c r="Q21" s="47"/>
      <c r="R21" s="48"/>
      <c r="S21" s="48"/>
      <c r="T21" s="49">
        <v>20000</v>
      </c>
      <c r="U21" s="149"/>
      <c r="V21" s="49"/>
      <c r="W21" s="129" t="s">
        <v>710</v>
      </c>
      <c r="X21" s="66" t="s">
        <v>425</v>
      </c>
      <c r="Y21" s="128">
        <f t="shared" si="0"/>
        <v>0</v>
      </c>
      <c r="AA21" s="156"/>
      <c r="AB21" s="156"/>
      <c r="AC21" s="156"/>
      <c r="AD21" s="156"/>
      <c r="AE21" s="156"/>
      <c r="AF21" s="156"/>
      <c r="AG21" s="210">
        <f t="shared" si="3"/>
        <v>0</v>
      </c>
      <c r="AH21" s="207" t="str">
        <f t="shared" si="4"/>
        <v>OK</v>
      </c>
    </row>
    <row r="22" spans="1:34" s="66" customFormat="1" ht="54.75" customHeight="1" thickBot="1">
      <c r="A22" s="66">
        <v>17</v>
      </c>
      <c r="B22" s="243"/>
      <c r="C22" s="240"/>
      <c r="D22" s="38" t="s">
        <v>22</v>
      </c>
      <c r="E22" s="38" t="s">
        <v>426</v>
      </c>
      <c r="F22" s="131">
        <v>4170811</v>
      </c>
      <c r="G22" s="197"/>
      <c r="H22" s="320"/>
      <c r="I22" s="187"/>
      <c r="J22" s="187"/>
      <c r="K22" s="189"/>
      <c r="L22" s="131">
        <v>5664988</v>
      </c>
      <c r="M22" s="177"/>
      <c r="N22" s="33">
        <v>6806000</v>
      </c>
      <c r="O22" s="46">
        <v>4126461</v>
      </c>
      <c r="P22" s="119"/>
      <c r="Q22" s="47"/>
      <c r="R22" s="48"/>
      <c r="S22" s="48"/>
      <c r="T22" s="49">
        <v>6806000</v>
      </c>
      <c r="U22" s="149"/>
      <c r="V22" s="49"/>
      <c r="W22" s="129" t="s">
        <v>496</v>
      </c>
      <c r="X22" s="66" t="s">
        <v>425</v>
      </c>
      <c r="Y22" s="128">
        <f t="shared" si="0"/>
        <v>0</v>
      </c>
      <c r="AA22" s="156"/>
      <c r="AB22" s="156"/>
      <c r="AC22" s="156"/>
      <c r="AD22" s="156"/>
      <c r="AE22" s="156"/>
      <c r="AF22" s="156"/>
      <c r="AG22" s="210">
        <f t="shared" si="3"/>
        <v>0</v>
      </c>
      <c r="AH22" s="207" t="str">
        <f t="shared" si="4"/>
        <v>OK</v>
      </c>
    </row>
    <row r="23" spans="2:34" s="66" customFormat="1" ht="31.5" customHeight="1" thickBot="1">
      <c r="B23" s="95"/>
      <c r="C23" s="69"/>
      <c r="D23" s="57"/>
      <c r="E23" s="57" t="s">
        <v>403</v>
      </c>
      <c r="F23" s="103">
        <f>SUM(F9:F22)</f>
        <v>11860427</v>
      </c>
      <c r="G23" s="103">
        <f aca="true" t="shared" si="5" ref="G23:T23">SUM(G9:G22)</f>
        <v>0</v>
      </c>
      <c r="H23" s="103">
        <f t="shared" si="5"/>
        <v>0</v>
      </c>
      <c r="I23" s="103">
        <f t="shared" si="5"/>
        <v>0</v>
      </c>
      <c r="J23" s="103">
        <f t="shared" si="5"/>
        <v>0</v>
      </c>
      <c r="K23" s="103">
        <f t="shared" si="5"/>
        <v>0</v>
      </c>
      <c r="L23" s="103">
        <f t="shared" si="5"/>
        <v>12833178</v>
      </c>
      <c r="M23" s="121">
        <f t="shared" si="5"/>
        <v>757752</v>
      </c>
      <c r="N23" s="333">
        <f t="shared" si="5"/>
        <v>9598402</v>
      </c>
      <c r="O23" s="58">
        <f t="shared" si="5"/>
        <v>9414760</v>
      </c>
      <c r="P23" s="121">
        <f t="shared" si="5"/>
        <v>0</v>
      </c>
      <c r="Q23" s="338">
        <f t="shared" si="5"/>
        <v>0</v>
      </c>
      <c r="R23" s="105">
        <f t="shared" si="5"/>
        <v>0</v>
      </c>
      <c r="S23" s="105">
        <f t="shared" si="5"/>
        <v>0</v>
      </c>
      <c r="T23" s="106">
        <f t="shared" si="5"/>
        <v>9598402</v>
      </c>
      <c r="U23" s="106"/>
      <c r="V23" s="370"/>
      <c r="W23" s="144"/>
      <c r="Y23" s="128">
        <f t="shared" si="0"/>
        <v>0</v>
      </c>
      <c r="AA23" s="333">
        <f aca="true" t="shared" si="6" ref="AA23:AF23">SUM(AA9:AA22)</f>
        <v>0</v>
      </c>
      <c r="AB23" s="333">
        <f t="shared" si="6"/>
        <v>0</v>
      </c>
      <c r="AC23" s="333">
        <f t="shared" si="6"/>
        <v>0</v>
      </c>
      <c r="AD23" s="333">
        <f t="shared" si="6"/>
        <v>0</v>
      </c>
      <c r="AE23" s="333">
        <f t="shared" si="6"/>
        <v>0</v>
      </c>
      <c r="AF23" s="333">
        <f t="shared" si="6"/>
        <v>0</v>
      </c>
      <c r="AG23" s="210">
        <f t="shared" si="3"/>
        <v>0</v>
      </c>
      <c r="AH23" s="207" t="str">
        <f t="shared" si="4"/>
        <v>OK</v>
      </c>
    </row>
    <row r="24" spans="1:34" s="66" customFormat="1" ht="43.5" customHeight="1">
      <c r="A24" s="66">
        <v>18</v>
      </c>
      <c r="B24" s="88" t="s">
        <v>231</v>
      </c>
      <c r="C24" s="90" t="s">
        <v>499</v>
      </c>
      <c r="D24" s="38" t="s">
        <v>500</v>
      </c>
      <c r="E24" s="38" t="s">
        <v>501</v>
      </c>
      <c r="F24" s="131">
        <v>653317</v>
      </c>
      <c r="G24" s="107"/>
      <c r="H24" s="107"/>
      <c r="I24" s="107"/>
      <c r="J24" s="107"/>
      <c r="K24" s="107"/>
      <c r="L24" s="131">
        <v>659997</v>
      </c>
      <c r="M24" s="177"/>
      <c r="N24" s="26">
        <v>200000</v>
      </c>
      <c r="O24" s="46"/>
      <c r="P24" s="119"/>
      <c r="Q24" s="47"/>
      <c r="R24" s="48"/>
      <c r="S24" s="48"/>
      <c r="T24" s="49">
        <v>200000</v>
      </c>
      <c r="U24" s="149"/>
      <c r="V24" s="49"/>
      <c r="W24" s="129" t="s">
        <v>290</v>
      </c>
      <c r="X24" s="66" t="s">
        <v>425</v>
      </c>
      <c r="Y24" s="128">
        <f t="shared" si="0"/>
        <v>0</v>
      </c>
      <c r="AA24" s="48"/>
      <c r="AB24" s="48"/>
      <c r="AC24" s="48"/>
      <c r="AD24" s="48"/>
      <c r="AE24" s="48"/>
      <c r="AF24" s="48"/>
      <c r="AG24" s="210">
        <f t="shared" si="3"/>
        <v>0</v>
      </c>
      <c r="AH24" s="207" t="str">
        <f t="shared" si="4"/>
        <v>OK</v>
      </c>
    </row>
    <row r="25" spans="1:34" s="66" customFormat="1" ht="54" customHeight="1">
      <c r="A25" s="66">
        <v>19</v>
      </c>
      <c r="B25" s="89"/>
      <c r="C25" s="90" t="s">
        <v>675</v>
      </c>
      <c r="D25" s="38" t="s">
        <v>504</v>
      </c>
      <c r="E25" s="38" t="s">
        <v>241</v>
      </c>
      <c r="F25" s="131">
        <v>3657</v>
      </c>
      <c r="G25" s="197"/>
      <c r="H25" s="320"/>
      <c r="I25" s="187"/>
      <c r="J25" s="187"/>
      <c r="K25" s="189"/>
      <c r="L25" s="131"/>
      <c r="M25" s="177"/>
      <c r="N25" s="33">
        <v>10000</v>
      </c>
      <c r="O25" s="46"/>
      <c r="P25" s="119"/>
      <c r="Q25" s="47"/>
      <c r="R25" s="48"/>
      <c r="S25" s="48"/>
      <c r="T25" s="49">
        <v>10000</v>
      </c>
      <c r="U25" s="149"/>
      <c r="V25" s="49"/>
      <c r="W25" s="129" t="s">
        <v>242</v>
      </c>
      <c r="X25" s="66" t="s">
        <v>425</v>
      </c>
      <c r="Y25" s="128">
        <f t="shared" si="0"/>
        <v>0</v>
      </c>
      <c r="AA25" s="156"/>
      <c r="AB25" s="156"/>
      <c r="AC25" s="156"/>
      <c r="AD25" s="156"/>
      <c r="AE25" s="156"/>
      <c r="AF25" s="156"/>
      <c r="AG25" s="210">
        <f t="shared" si="3"/>
        <v>0</v>
      </c>
      <c r="AH25" s="207" t="str">
        <f t="shared" si="4"/>
        <v>OK</v>
      </c>
    </row>
    <row r="26" spans="1:34" s="66" customFormat="1" ht="41.25" customHeight="1">
      <c r="A26" s="66">
        <v>20</v>
      </c>
      <c r="B26" s="89"/>
      <c r="C26" s="92"/>
      <c r="D26" s="38" t="s">
        <v>761</v>
      </c>
      <c r="E26" s="38" t="s">
        <v>97</v>
      </c>
      <c r="F26" s="131">
        <v>4708</v>
      </c>
      <c r="G26" s="197"/>
      <c r="H26" s="320"/>
      <c r="I26" s="187"/>
      <c r="J26" s="187"/>
      <c r="K26" s="189"/>
      <c r="L26" s="131">
        <v>7788</v>
      </c>
      <c r="M26" s="177"/>
      <c r="N26" s="33">
        <v>5000</v>
      </c>
      <c r="O26" s="46">
        <v>11219</v>
      </c>
      <c r="P26" s="119"/>
      <c r="Q26" s="47"/>
      <c r="R26" s="48"/>
      <c r="S26" s="48"/>
      <c r="T26" s="49">
        <v>5000</v>
      </c>
      <c r="U26" s="149"/>
      <c r="V26" s="49"/>
      <c r="W26" s="129" t="s">
        <v>98</v>
      </c>
      <c r="X26" s="66" t="s">
        <v>425</v>
      </c>
      <c r="Y26" s="128">
        <f t="shared" si="0"/>
        <v>0</v>
      </c>
      <c r="AA26" s="156"/>
      <c r="AB26" s="156"/>
      <c r="AC26" s="156"/>
      <c r="AD26" s="156"/>
      <c r="AE26" s="156"/>
      <c r="AF26" s="156"/>
      <c r="AG26" s="210">
        <f t="shared" si="3"/>
        <v>0</v>
      </c>
      <c r="AH26" s="207" t="str">
        <f t="shared" si="4"/>
        <v>OK</v>
      </c>
    </row>
    <row r="27" spans="1:34" s="66" customFormat="1" ht="42.75" customHeight="1">
      <c r="A27" s="66">
        <v>21</v>
      </c>
      <c r="B27" s="89"/>
      <c r="C27" s="90" t="s">
        <v>419</v>
      </c>
      <c r="D27" s="38" t="s">
        <v>89</v>
      </c>
      <c r="E27" s="38" t="s">
        <v>90</v>
      </c>
      <c r="F27" s="131">
        <v>45460</v>
      </c>
      <c r="G27" s="197"/>
      <c r="H27" s="320"/>
      <c r="I27" s="187"/>
      <c r="J27" s="187"/>
      <c r="K27" s="189"/>
      <c r="L27" s="131">
        <v>84076</v>
      </c>
      <c r="M27" s="177"/>
      <c r="N27" s="33">
        <v>16815</v>
      </c>
      <c r="O27" s="46"/>
      <c r="P27" s="119"/>
      <c r="Q27" s="47"/>
      <c r="R27" s="48"/>
      <c r="S27" s="48"/>
      <c r="T27" s="49">
        <v>16815</v>
      </c>
      <c r="U27" s="149"/>
      <c r="V27" s="49"/>
      <c r="W27" s="129" t="s">
        <v>709</v>
      </c>
      <c r="X27" s="66" t="s">
        <v>425</v>
      </c>
      <c r="Y27" s="128">
        <f t="shared" si="0"/>
        <v>0</v>
      </c>
      <c r="AA27" s="156"/>
      <c r="AB27" s="156"/>
      <c r="AC27" s="156"/>
      <c r="AD27" s="156"/>
      <c r="AE27" s="48"/>
      <c r="AF27" s="156"/>
      <c r="AG27" s="210">
        <f t="shared" si="3"/>
        <v>0</v>
      </c>
      <c r="AH27" s="207" t="str">
        <f t="shared" si="4"/>
        <v>OK</v>
      </c>
    </row>
    <row r="28" spans="1:34" s="66" customFormat="1" ht="31.5" customHeight="1" thickBot="1">
      <c r="A28" s="66">
        <v>22</v>
      </c>
      <c r="B28" s="89"/>
      <c r="C28" s="91"/>
      <c r="D28" s="51" t="s">
        <v>420</v>
      </c>
      <c r="E28" s="38" t="s">
        <v>509</v>
      </c>
      <c r="F28" s="131">
        <v>93657</v>
      </c>
      <c r="G28" s="196"/>
      <c r="H28" s="322"/>
      <c r="I28" s="324"/>
      <c r="J28" s="324"/>
      <c r="K28" s="331"/>
      <c r="L28" s="131">
        <v>92506</v>
      </c>
      <c r="M28" s="177"/>
      <c r="N28" s="33">
        <v>25000</v>
      </c>
      <c r="O28" s="46"/>
      <c r="P28" s="119"/>
      <c r="Q28" s="47"/>
      <c r="R28" s="48"/>
      <c r="S28" s="48"/>
      <c r="T28" s="49">
        <v>25000</v>
      </c>
      <c r="U28" s="149"/>
      <c r="V28" s="49"/>
      <c r="W28" s="129" t="s">
        <v>510</v>
      </c>
      <c r="X28" s="66" t="s">
        <v>425</v>
      </c>
      <c r="Y28" s="128">
        <f t="shared" si="0"/>
        <v>0</v>
      </c>
      <c r="AA28" s="156"/>
      <c r="AB28" s="156"/>
      <c r="AC28" s="156"/>
      <c r="AD28" s="156"/>
      <c r="AE28" s="48"/>
      <c r="AF28" s="156"/>
      <c r="AG28" s="210">
        <f t="shared" si="3"/>
        <v>0</v>
      </c>
      <c r="AH28" s="207" t="str">
        <f t="shared" si="4"/>
        <v>OK</v>
      </c>
    </row>
    <row r="29" spans="1:35" s="66" customFormat="1" ht="38.25" customHeight="1">
      <c r="A29" s="66">
        <v>23</v>
      </c>
      <c r="B29" s="89"/>
      <c r="C29" s="91"/>
      <c r="D29" s="56"/>
      <c r="E29" s="51" t="s">
        <v>505</v>
      </c>
      <c r="F29" s="134" t="s">
        <v>442</v>
      </c>
      <c r="G29" s="134"/>
      <c r="H29" s="134"/>
      <c r="I29" s="134"/>
      <c r="J29" s="134"/>
      <c r="K29" s="134"/>
      <c r="L29" s="134" t="s">
        <v>442</v>
      </c>
      <c r="M29" s="157"/>
      <c r="N29" s="30">
        <v>50000</v>
      </c>
      <c r="O29" s="55" t="s">
        <v>442</v>
      </c>
      <c r="P29" s="120"/>
      <c r="Q29" s="52"/>
      <c r="R29" s="53"/>
      <c r="S29" s="53"/>
      <c r="T29" s="36">
        <v>50000</v>
      </c>
      <c r="U29" s="67"/>
      <c r="V29" s="36"/>
      <c r="W29" s="145" t="s">
        <v>506</v>
      </c>
      <c r="X29" s="66" t="s">
        <v>425</v>
      </c>
      <c r="Y29" s="128">
        <f t="shared" si="0"/>
        <v>0</v>
      </c>
      <c r="AA29" s="156"/>
      <c r="AB29" s="156"/>
      <c r="AC29" s="156"/>
      <c r="AD29" s="156"/>
      <c r="AE29" s="241"/>
      <c r="AF29" s="156"/>
      <c r="AG29" s="210">
        <f t="shared" si="3"/>
        <v>0</v>
      </c>
      <c r="AH29" s="207" t="str">
        <f t="shared" si="4"/>
        <v>OK</v>
      </c>
      <c r="AI29" s="241"/>
    </row>
    <row r="30" spans="1:35" s="66" customFormat="1" ht="38.25" customHeight="1" thickBot="1">
      <c r="A30" s="66">
        <v>24</v>
      </c>
      <c r="B30" s="243"/>
      <c r="C30" s="240"/>
      <c r="D30" s="63"/>
      <c r="E30" s="51" t="s">
        <v>511</v>
      </c>
      <c r="F30" s="134">
        <v>1380</v>
      </c>
      <c r="G30" s="134"/>
      <c r="H30" s="134"/>
      <c r="I30" s="134"/>
      <c r="J30" s="134"/>
      <c r="K30" s="134"/>
      <c r="L30" s="134" t="s">
        <v>442</v>
      </c>
      <c r="M30" s="157"/>
      <c r="N30" s="30">
        <v>9263</v>
      </c>
      <c r="O30" s="55"/>
      <c r="P30" s="120"/>
      <c r="Q30" s="52"/>
      <c r="R30" s="53"/>
      <c r="S30" s="53"/>
      <c r="T30" s="36">
        <v>9263</v>
      </c>
      <c r="U30" s="67"/>
      <c r="V30" s="36"/>
      <c r="W30" s="145" t="s">
        <v>427</v>
      </c>
      <c r="X30" s="66" t="s">
        <v>425</v>
      </c>
      <c r="Y30" s="128">
        <f t="shared" si="0"/>
        <v>0</v>
      </c>
      <c r="AA30" s="156"/>
      <c r="AB30" s="156"/>
      <c r="AC30" s="156"/>
      <c r="AD30" s="156"/>
      <c r="AE30" s="241"/>
      <c r="AF30" s="156"/>
      <c r="AG30" s="210">
        <f t="shared" si="3"/>
        <v>0</v>
      </c>
      <c r="AH30" s="207" t="str">
        <f t="shared" si="4"/>
        <v>OK</v>
      </c>
      <c r="AI30" s="241"/>
    </row>
    <row r="31" spans="2:34" s="66" customFormat="1" ht="31.5" customHeight="1" thickBot="1">
      <c r="B31" s="95"/>
      <c r="C31" s="69"/>
      <c r="D31" s="57"/>
      <c r="E31" s="57" t="s">
        <v>403</v>
      </c>
      <c r="F31" s="103">
        <f>SUM(F24:F30)</f>
        <v>802179</v>
      </c>
      <c r="G31" s="103">
        <f aca="true" t="shared" si="7" ref="G31:T31">SUM(G24:G30)</f>
        <v>0</v>
      </c>
      <c r="H31" s="103">
        <f t="shared" si="7"/>
        <v>0</v>
      </c>
      <c r="I31" s="103">
        <f t="shared" si="7"/>
        <v>0</v>
      </c>
      <c r="J31" s="103">
        <f t="shared" si="7"/>
        <v>0</v>
      </c>
      <c r="K31" s="103">
        <f t="shared" si="7"/>
        <v>0</v>
      </c>
      <c r="L31" s="103">
        <f t="shared" si="7"/>
        <v>844367</v>
      </c>
      <c r="M31" s="121">
        <f t="shared" si="7"/>
        <v>0</v>
      </c>
      <c r="N31" s="333">
        <f t="shared" si="7"/>
        <v>316078</v>
      </c>
      <c r="O31" s="58">
        <f t="shared" si="7"/>
        <v>11219</v>
      </c>
      <c r="P31" s="121">
        <f t="shared" si="7"/>
        <v>0</v>
      </c>
      <c r="Q31" s="338">
        <f t="shared" si="7"/>
        <v>0</v>
      </c>
      <c r="R31" s="105">
        <f t="shared" si="7"/>
        <v>0</v>
      </c>
      <c r="S31" s="105">
        <f t="shared" si="7"/>
        <v>0</v>
      </c>
      <c r="T31" s="106">
        <f t="shared" si="7"/>
        <v>316078</v>
      </c>
      <c r="U31" s="106"/>
      <c r="V31" s="370"/>
      <c r="W31" s="144"/>
      <c r="Y31" s="128">
        <f t="shared" si="0"/>
        <v>0</v>
      </c>
      <c r="AA31" s="333">
        <f aca="true" t="shared" si="8" ref="AA31:AF31">SUM(AA24:AA30)</f>
        <v>0</v>
      </c>
      <c r="AB31" s="333">
        <f t="shared" si="8"/>
        <v>0</v>
      </c>
      <c r="AC31" s="333">
        <f t="shared" si="8"/>
        <v>0</v>
      </c>
      <c r="AD31" s="333">
        <f t="shared" si="8"/>
        <v>0</v>
      </c>
      <c r="AE31" s="333">
        <f t="shared" si="8"/>
        <v>0</v>
      </c>
      <c r="AF31" s="333">
        <f t="shared" si="8"/>
        <v>0</v>
      </c>
      <c r="AG31" s="210">
        <f t="shared" si="3"/>
        <v>0</v>
      </c>
      <c r="AH31" s="207" t="str">
        <f t="shared" si="4"/>
        <v>OK</v>
      </c>
    </row>
    <row r="32" spans="1:35" s="66" customFormat="1" ht="50.25" customHeight="1">
      <c r="A32" s="66">
        <v>25</v>
      </c>
      <c r="B32" s="88" t="s">
        <v>196</v>
      </c>
      <c r="C32" s="98" t="s">
        <v>229</v>
      </c>
      <c r="D32" s="51" t="s">
        <v>228</v>
      </c>
      <c r="E32" s="51" t="s">
        <v>91</v>
      </c>
      <c r="F32" s="134" t="s">
        <v>442</v>
      </c>
      <c r="G32" s="134"/>
      <c r="H32" s="134"/>
      <c r="I32" s="134"/>
      <c r="J32" s="134"/>
      <c r="K32" s="134"/>
      <c r="L32" s="134" t="s">
        <v>442</v>
      </c>
      <c r="M32" s="157"/>
      <c r="N32" s="30">
        <v>2000</v>
      </c>
      <c r="O32" s="55"/>
      <c r="P32" s="120"/>
      <c r="Q32" s="52"/>
      <c r="R32" s="53"/>
      <c r="S32" s="53"/>
      <c r="T32" s="36">
        <v>2000</v>
      </c>
      <c r="U32" s="67"/>
      <c r="V32" s="36"/>
      <c r="W32" s="145" t="s">
        <v>92</v>
      </c>
      <c r="X32" s="66" t="s">
        <v>425</v>
      </c>
      <c r="Y32" s="128">
        <f t="shared" si="0"/>
        <v>0</v>
      </c>
      <c r="AA32" s="156"/>
      <c r="AB32" s="156"/>
      <c r="AC32" s="156"/>
      <c r="AD32" s="156"/>
      <c r="AE32" s="156"/>
      <c r="AF32" s="156"/>
      <c r="AG32" s="210">
        <f t="shared" si="3"/>
        <v>0</v>
      </c>
      <c r="AH32" s="207" t="str">
        <f t="shared" si="4"/>
        <v>OK</v>
      </c>
      <c r="AI32" s="25"/>
    </row>
    <row r="33" spans="1:35" s="66" customFormat="1" ht="49.5" customHeight="1" thickBot="1">
      <c r="A33" s="66">
        <v>26</v>
      </c>
      <c r="B33" s="243"/>
      <c r="C33" s="240"/>
      <c r="D33" s="51" t="s">
        <v>228</v>
      </c>
      <c r="E33" s="51" t="s">
        <v>51</v>
      </c>
      <c r="F33" s="134" t="s">
        <v>442</v>
      </c>
      <c r="G33" s="134"/>
      <c r="H33" s="134"/>
      <c r="I33" s="134"/>
      <c r="J33" s="134"/>
      <c r="K33" s="134"/>
      <c r="L33" s="134" t="s">
        <v>442</v>
      </c>
      <c r="M33" s="157"/>
      <c r="N33" s="30">
        <v>200000</v>
      </c>
      <c r="O33" s="55"/>
      <c r="P33" s="120"/>
      <c r="Q33" s="52"/>
      <c r="R33" s="53"/>
      <c r="S33" s="53"/>
      <c r="T33" s="36">
        <v>200000</v>
      </c>
      <c r="U33" s="67"/>
      <c r="V33" s="36"/>
      <c r="W33" s="145" t="s">
        <v>23</v>
      </c>
      <c r="X33" s="66" t="s">
        <v>425</v>
      </c>
      <c r="Y33" s="128">
        <f t="shared" si="0"/>
        <v>0</v>
      </c>
      <c r="AA33" s="156"/>
      <c r="AB33" s="156"/>
      <c r="AC33" s="156"/>
      <c r="AD33" s="156"/>
      <c r="AE33" s="241"/>
      <c r="AF33" s="156"/>
      <c r="AG33" s="210">
        <f t="shared" si="3"/>
        <v>0</v>
      </c>
      <c r="AH33" s="207" t="str">
        <f t="shared" si="4"/>
        <v>OK</v>
      </c>
      <c r="AI33" s="241"/>
    </row>
    <row r="34" spans="2:34" s="66" customFormat="1" ht="31.5" customHeight="1" thickBot="1">
      <c r="B34" s="95"/>
      <c r="C34" s="69"/>
      <c r="D34" s="57"/>
      <c r="E34" s="57" t="s">
        <v>403</v>
      </c>
      <c r="F34" s="103">
        <f>SUM(F32:F33)</f>
        <v>0</v>
      </c>
      <c r="G34" s="103">
        <f aca="true" t="shared" si="9" ref="G34:T34">SUM(G32:G33)</f>
        <v>0</v>
      </c>
      <c r="H34" s="103">
        <f t="shared" si="9"/>
        <v>0</v>
      </c>
      <c r="I34" s="103">
        <f t="shared" si="9"/>
        <v>0</v>
      </c>
      <c r="J34" s="103">
        <f t="shared" si="9"/>
        <v>0</v>
      </c>
      <c r="K34" s="103">
        <f t="shared" si="9"/>
        <v>0</v>
      </c>
      <c r="L34" s="103">
        <f t="shared" si="9"/>
        <v>0</v>
      </c>
      <c r="M34" s="121">
        <f t="shared" si="9"/>
        <v>0</v>
      </c>
      <c r="N34" s="333">
        <f t="shared" si="9"/>
        <v>202000</v>
      </c>
      <c r="O34" s="58">
        <f t="shared" si="9"/>
        <v>0</v>
      </c>
      <c r="P34" s="121">
        <f t="shared" si="9"/>
        <v>0</v>
      </c>
      <c r="Q34" s="338">
        <f t="shared" si="9"/>
        <v>0</v>
      </c>
      <c r="R34" s="105">
        <f t="shared" si="9"/>
        <v>0</v>
      </c>
      <c r="S34" s="105">
        <f t="shared" si="9"/>
        <v>0</v>
      </c>
      <c r="T34" s="106">
        <f t="shared" si="9"/>
        <v>202000</v>
      </c>
      <c r="U34" s="106"/>
      <c r="V34" s="370"/>
      <c r="W34" s="144"/>
      <c r="Y34" s="128">
        <f t="shared" si="0"/>
        <v>0</v>
      </c>
      <c r="AA34" s="333">
        <f aca="true" t="shared" si="10" ref="AA34:AF34">SUM(AA32:AA33)</f>
        <v>0</v>
      </c>
      <c r="AB34" s="333">
        <f t="shared" si="10"/>
        <v>0</v>
      </c>
      <c r="AC34" s="333">
        <f t="shared" si="10"/>
        <v>0</v>
      </c>
      <c r="AD34" s="333">
        <f t="shared" si="10"/>
        <v>0</v>
      </c>
      <c r="AE34" s="333">
        <f t="shared" si="10"/>
        <v>0</v>
      </c>
      <c r="AF34" s="333">
        <f t="shared" si="10"/>
        <v>0</v>
      </c>
      <c r="AG34" s="210">
        <f t="shared" si="3"/>
        <v>0</v>
      </c>
      <c r="AH34" s="207" t="str">
        <f t="shared" si="4"/>
        <v>OK</v>
      </c>
    </row>
    <row r="35" spans="1:35" s="66" customFormat="1" ht="54.75" customHeight="1" thickBot="1">
      <c r="A35" s="66">
        <v>27</v>
      </c>
      <c r="B35" s="108" t="s">
        <v>406</v>
      </c>
      <c r="C35" s="96" t="s">
        <v>764</v>
      </c>
      <c r="D35" s="57"/>
      <c r="E35" s="57" t="s">
        <v>765</v>
      </c>
      <c r="F35" s="103" t="s">
        <v>442</v>
      </c>
      <c r="G35" s="348"/>
      <c r="H35" s="348"/>
      <c r="I35" s="348"/>
      <c r="J35" s="348"/>
      <c r="K35" s="348"/>
      <c r="L35" s="103" t="s">
        <v>442</v>
      </c>
      <c r="M35" s="121"/>
      <c r="N35" s="59">
        <v>6000</v>
      </c>
      <c r="O35" s="58" t="s">
        <v>442</v>
      </c>
      <c r="P35" s="97"/>
      <c r="Q35" s="97"/>
      <c r="R35" s="61"/>
      <c r="S35" s="61"/>
      <c r="T35" s="64">
        <v>6000</v>
      </c>
      <c r="U35" s="64"/>
      <c r="V35" s="199"/>
      <c r="W35" s="144" t="s">
        <v>766</v>
      </c>
      <c r="X35" s="66" t="s">
        <v>425</v>
      </c>
      <c r="Y35" s="128">
        <f t="shared" si="0"/>
        <v>0</v>
      </c>
      <c r="AA35" s="59"/>
      <c r="AB35" s="342"/>
      <c r="AC35" s="342"/>
      <c r="AD35" s="342"/>
      <c r="AE35" s="342"/>
      <c r="AF35" s="342"/>
      <c r="AG35" s="210">
        <f t="shared" si="3"/>
        <v>0</v>
      </c>
      <c r="AH35" s="207" t="str">
        <f t="shared" si="4"/>
        <v>OK</v>
      </c>
      <c r="AI35" s="25"/>
    </row>
    <row r="36" spans="2:34" s="66" customFormat="1" ht="31.5" customHeight="1" thickBot="1">
      <c r="B36" s="95"/>
      <c r="C36" s="69"/>
      <c r="D36" s="57"/>
      <c r="E36" s="57" t="s">
        <v>403</v>
      </c>
      <c r="F36" s="103">
        <f aca="true" t="shared" si="11" ref="F36:T36">SUM(F35:F35)</f>
        <v>0</v>
      </c>
      <c r="G36" s="103">
        <f t="shared" si="11"/>
        <v>0</v>
      </c>
      <c r="H36" s="103">
        <f t="shared" si="11"/>
        <v>0</v>
      </c>
      <c r="I36" s="103">
        <f t="shared" si="11"/>
        <v>0</v>
      </c>
      <c r="J36" s="103">
        <f t="shared" si="11"/>
        <v>0</v>
      </c>
      <c r="K36" s="103">
        <f t="shared" si="11"/>
        <v>0</v>
      </c>
      <c r="L36" s="103">
        <f t="shared" si="11"/>
        <v>0</v>
      </c>
      <c r="M36" s="121">
        <f t="shared" si="11"/>
        <v>0</v>
      </c>
      <c r="N36" s="333">
        <f t="shared" si="11"/>
        <v>6000</v>
      </c>
      <c r="O36" s="58">
        <f t="shared" si="11"/>
        <v>0</v>
      </c>
      <c r="P36" s="121">
        <f t="shared" si="11"/>
        <v>0</v>
      </c>
      <c r="Q36" s="338">
        <f t="shared" si="11"/>
        <v>0</v>
      </c>
      <c r="R36" s="105">
        <f t="shared" si="11"/>
        <v>0</v>
      </c>
      <c r="S36" s="105">
        <f t="shared" si="11"/>
        <v>0</v>
      </c>
      <c r="T36" s="106">
        <f t="shared" si="11"/>
        <v>6000</v>
      </c>
      <c r="U36" s="106"/>
      <c r="V36" s="370"/>
      <c r="W36" s="144"/>
      <c r="Y36" s="128">
        <f t="shared" si="0"/>
        <v>0</v>
      </c>
      <c r="AA36" s="333">
        <f aca="true" t="shared" si="12" ref="AA36:AF36">SUM(AA35:AA35)</f>
        <v>0</v>
      </c>
      <c r="AB36" s="333">
        <f t="shared" si="12"/>
        <v>0</v>
      </c>
      <c r="AC36" s="333">
        <f t="shared" si="12"/>
        <v>0</v>
      </c>
      <c r="AD36" s="333">
        <f t="shared" si="12"/>
        <v>0</v>
      </c>
      <c r="AE36" s="333">
        <f t="shared" si="12"/>
        <v>0</v>
      </c>
      <c r="AF36" s="333">
        <f t="shared" si="12"/>
        <v>0</v>
      </c>
      <c r="AG36" s="210">
        <f t="shared" si="3"/>
        <v>0</v>
      </c>
      <c r="AH36" s="207" t="str">
        <f t="shared" si="4"/>
        <v>OK</v>
      </c>
    </row>
    <row r="37" spans="1:34" s="66" customFormat="1" ht="48" customHeight="1">
      <c r="A37" s="66">
        <v>28</v>
      </c>
      <c r="B37" s="88" t="s">
        <v>169</v>
      </c>
      <c r="C37" s="98" t="s">
        <v>170</v>
      </c>
      <c r="D37" s="38" t="s">
        <v>774</v>
      </c>
      <c r="E37" s="38" t="s">
        <v>369</v>
      </c>
      <c r="F37" s="131" t="s">
        <v>442</v>
      </c>
      <c r="G37" s="131"/>
      <c r="H37" s="131"/>
      <c r="I37" s="131"/>
      <c r="J37" s="131"/>
      <c r="K37" s="131"/>
      <c r="L37" s="131" t="s">
        <v>442</v>
      </c>
      <c r="M37" s="177"/>
      <c r="N37" s="26">
        <v>200000</v>
      </c>
      <c r="O37" s="46" t="s">
        <v>442</v>
      </c>
      <c r="P37" s="119"/>
      <c r="Q37" s="47"/>
      <c r="R37" s="48"/>
      <c r="S37" s="48"/>
      <c r="T37" s="49">
        <v>200000</v>
      </c>
      <c r="U37" s="149"/>
      <c r="V37" s="49"/>
      <c r="W37" s="129" t="s">
        <v>370</v>
      </c>
      <c r="X37" s="66" t="s">
        <v>425</v>
      </c>
      <c r="Y37" s="128">
        <f aca="true" t="shared" si="13" ref="Y37:Y58">N37-Q37-R37-S37-T37</f>
        <v>0</v>
      </c>
      <c r="AA37" s="25"/>
      <c r="AB37" s="25"/>
      <c r="AC37" s="25"/>
      <c r="AD37" s="25"/>
      <c r="AF37" s="25"/>
      <c r="AG37" s="210">
        <f t="shared" si="3"/>
        <v>0</v>
      </c>
      <c r="AH37" s="207" t="str">
        <f t="shared" si="4"/>
        <v>OK</v>
      </c>
    </row>
    <row r="38" spans="1:34" s="66" customFormat="1" ht="37.5" customHeight="1">
      <c r="A38" s="66">
        <v>29</v>
      </c>
      <c r="B38" s="89"/>
      <c r="C38" s="92"/>
      <c r="D38" s="38" t="s">
        <v>775</v>
      </c>
      <c r="E38" s="38" t="s">
        <v>131</v>
      </c>
      <c r="F38" s="131" t="s">
        <v>442</v>
      </c>
      <c r="G38" s="131"/>
      <c r="H38" s="131"/>
      <c r="I38" s="131"/>
      <c r="J38" s="131"/>
      <c r="K38" s="131"/>
      <c r="L38" s="131" t="s">
        <v>442</v>
      </c>
      <c r="M38" s="177"/>
      <c r="N38" s="26">
        <v>25000</v>
      </c>
      <c r="O38" s="46" t="s">
        <v>442</v>
      </c>
      <c r="P38" s="119"/>
      <c r="Q38" s="47"/>
      <c r="R38" s="48"/>
      <c r="S38" s="48"/>
      <c r="T38" s="49">
        <v>25000</v>
      </c>
      <c r="U38" s="149"/>
      <c r="V38" s="49"/>
      <c r="W38" s="129" t="s">
        <v>776</v>
      </c>
      <c r="X38" s="66" t="s">
        <v>425</v>
      </c>
      <c r="Y38" s="128">
        <f t="shared" si="13"/>
        <v>0</v>
      </c>
      <c r="AA38" s="25"/>
      <c r="AB38" s="25"/>
      <c r="AC38" s="25"/>
      <c r="AD38" s="25"/>
      <c r="AF38" s="25"/>
      <c r="AG38" s="210">
        <f t="shared" si="3"/>
        <v>0</v>
      </c>
      <c r="AH38" s="207" t="str">
        <f t="shared" si="4"/>
        <v>OK</v>
      </c>
    </row>
    <row r="39" spans="1:34" s="66" customFormat="1" ht="31.5" customHeight="1" thickBot="1">
      <c r="A39" s="66">
        <v>30</v>
      </c>
      <c r="B39" s="243"/>
      <c r="C39" s="219" t="s">
        <v>768</v>
      </c>
      <c r="D39" s="51" t="s">
        <v>769</v>
      </c>
      <c r="E39" s="38" t="s">
        <v>770</v>
      </c>
      <c r="F39" s="131" t="s">
        <v>442</v>
      </c>
      <c r="G39" s="131"/>
      <c r="H39" s="131"/>
      <c r="I39" s="131"/>
      <c r="J39" s="131"/>
      <c r="K39" s="131"/>
      <c r="L39" s="131" t="s">
        <v>759</v>
      </c>
      <c r="M39" s="177"/>
      <c r="N39" s="26">
        <v>5000</v>
      </c>
      <c r="O39" s="46" t="s">
        <v>759</v>
      </c>
      <c r="P39" s="119"/>
      <c r="Q39" s="47"/>
      <c r="R39" s="48"/>
      <c r="S39" s="48"/>
      <c r="T39" s="49">
        <v>5000</v>
      </c>
      <c r="U39" s="149"/>
      <c r="V39" s="49"/>
      <c r="W39" s="129"/>
      <c r="X39" s="66" t="s">
        <v>771</v>
      </c>
      <c r="Y39" s="128">
        <f t="shared" si="13"/>
        <v>0</v>
      </c>
      <c r="AA39" s="25"/>
      <c r="AB39" s="25"/>
      <c r="AC39" s="25"/>
      <c r="AD39" s="25"/>
      <c r="AE39" s="25"/>
      <c r="AF39" s="25"/>
      <c r="AG39" s="210">
        <f t="shared" si="3"/>
        <v>0</v>
      </c>
      <c r="AH39" s="207" t="str">
        <f t="shared" si="4"/>
        <v>OK</v>
      </c>
    </row>
    <row r="40" spans="2:34" s="66" customFormat="1" ht="31.5" customHeight="1" thickBot="1">
      <c r="B40" s="95"/>
      <c r="C40" s="69"/>
      <c r="D40" s="57"/>
      <c r="E40" s="57" t="s">
        <v>403</v>
      </c>
      <c r="F40" s="103">
        <f>SUM(F37:F39)</f>
        <v>0</v>
      </c>
      <c r="G40" s="103">
        <f aca="true" t="shared" si="14" ref="G40:T40">SUM(G37:G39)</f>
        <v>0</v>
      </c>
      <c r="H40" s="103">
        <f t="shared" si="14"/>
        <v>0</v>
      </c>
      <c r="I40" s="103">
        <f t="shared" si="14"/>
        <v>0</v>
      </c>
      <c r="J40" s="103">
        <f t="shared" si="14"/>
        <v>0</v>
      </c>
      <c r="K40" s="103">
        <f t="shared" si="14"/>
        <v>0</v>
      </c>
      <c r="L40" s="103">
        <f t="shared" si="14"/>
        <v>0</v>
      </c>
      <c r="M40" s="121">
        <f t="shared" si="14"/>
        <v>0</v>
      </c>
      <c r="N40" s="333">
        <f t="shared" si="14"/>
        <v>230000</v>
      </c>
      <c r="O40" s="58">
        <f t="shared" si="14"/>
        <v>0</v>
      </c>
      <c r="P40" s="121">
        <f t="shared" si="14"/>
        <v>0</v>
      </c>
      <c r="Q40" s="338">
        <f t="shared" si="14"/>
        <v>0</v>
      </c>
      <c r="R40" s="105">
        <f t="shared" si="14"/>
        <v>0</v>
      </c>
      <c r="S40" s="105">
        <f t="shared" si="14"/>
        <v>0</v>
      </c>
      <c r="T40" s="106">
        <f t="shared" si="14"/>
        <v>230000</v>
      </c>
      <c r="U40" s="106"/>
      <c r="V40" s="370"/>
      <c r="W40" s="144"/>
      <c r="Y40" s="128">
        <f t="shared" si="13"/>
        <v>0</v>
      </c>
      <c r="AA40" s="333">
        <f aca="true" t="shared" si="15" ref="AA40:AF40">SUM(AA37:AA39)</f>
        <v>0</v>
      </c>
      <c r="AB40" s="333">
        <f t="shared" si="15"/>
        <v>0</v>
      </c>
      <c r="AC40" s="333">
        <f t="shared" si="15"/>
        <v>0</v>
      </c>
      <c r="AD40" s="333">
        <f t="shared" si="15"/>
        <v>0</v>
      </c>
      <c r="AE40" s="333">
        <f t="shared" si="15"/>
        <v>0</v>
      </c>
      <c r="AF40" s="333">
        <f t="shared" si="15"/>
        <v>0</v>
      </c>
      <c r="AG40" s="210">
        <f t="shared" si="3"/>
        <v>0</v>
      </c>
      <c r="AH40" s="207" t="str">
        <f t="shared" si="4"/>
        <v>OK</v>
      </c>
    </row>
    <row r="41" spans="1:34" s="66" customFormat="1" ht="50.25" customHeight="1" thickBot="1">
      <c r="A41" s="66">
        <v>31</v>
      </c>
      <c r="B41" s="88" t="s">
        <v>285</v>
      </c>
      <c r="C41" s="192" t="s">
        <v>392</v>
      </c>
      <c r="D41" s="180" t="s">
        <v>749</v>
      </c>
      <c r="E41" s="180"/>
      <c r="F41" s="181" t="s">
        <v>442</v>
      </c>
      <c r="G41" s="181"/>
      <c r="H41" s="181"/>
      <c r="I41" s="181"/>
      <c r="J41" s="181"/>
      <c r="K41" s="181"/>
      <c r="L41" s="181" t="s">
        <v>442</v>
      </c>
      <c r="M41" s="182"/>
      <c r="N41" s="230">
        <v>2000</v>
      </c>
      <c r="O41" s="183" t="s">
        <v>442</v>
      </c>
      <c r="P41" s="139"/>
      <c r="Q41" s="193"/>
      <c r="R41" s="206"/>
      <c r="S41" s="206"/>
      <c r="T41" s="194">
        <v>2000</v>
      </c>
      <c r="U41" s="173"/>
      <c r="V41" s="194"/>
      <c r="W41" s="126" t="s">
        <v>758</v>
      </c>
      <c r="X41" s="66" t="s">
        <v>425</v>
      </c>
      <c r="Y41" s="128">
        <f t="shared" si="13"/>
        <v>0</v>
      </c>
      <c r="AA41" s="25"/>
      <c r="AB41" s="156"/>
      <c r="AC41" s="25"/>
      <c r="AD41" s="25"/>
      <c r="AE41" s="25"/>
      <c r="AF41" s="25"/>
      <c r="AG41" s="210">
        <f t="shared" si="3"/>
        <v>0</v>
      </c>
      <c r="AH41" s="207" t="str">
        <f t="shared" si="4"/>
        <v>OK</v>
      </c>
    </row>
    <row r="42" spans="1:34" s="66" customFormat="1" ht="50.25" customHeight="1" thickBot="1">
      <c r="A42" s="66">
        <v>32</v>
      </c>
      <c r="B42" s="89"/>
      <c r="C42" s="93" t="s">
        <v>782</v>
      </c>
      <c r="D42" s="38" t="s">
        <v>522</v>
      </c>
      <c r="E42" s="38" t="s">
        <v>523</v>
      </c>
      <c r="F42" s="131">
        <v>370836</v>
      </c>
      <c r="G42" s="316"/>
      <c r="H42" s="316"/>
      <c r="I42" s="316"/>
      <c r="J42" s="316"/>
      <c r="K42" s="316"/>
      <c r="L42" s="131">
        <v>333321</v>
      </c>
      <c r="M42" s="131"/>
      <c r="N42" s="314">
        <v>90000</v>
      </c>
      <c r="O42" s="46"/>
      <c r="P42" s="119"/>
      <c r="Q42" s="372"/>
      <c r="R42" s="48"/>
      <c r="S42" s="48"/>
      <c r="T42" s="149">
        <v>90000</v>
      </c>
      <c r="U42" s="149"/>
      <c r="V42" s="49"/>
      <c r="W42" s="129" t="s">
        <v>297</v>
      </c>
      <c r="X42" s="66" t="s">
        <v>425</v>
      </c>
      <c r="Y42" s="128">
        <f t="shared" si="13"/>
        <v>0</v>
      </c>
      <c r="AA42" s="348"/>
      <c r="AB42" s="348"/>
      <c r="AC42" s="348"/>
      <c r="AD42" s="348"/>
      <c r="AE42" s="348"/>
      <c r="AF42" s="348"/>
      <c r="AG42" s="210">
        <f t="shared" si="3"/>
        <v>0</v>
      </c>
      <c r="AH42" s="207" t="str">
        <f t="shared" si="4"/>
        <v>OK</v>
      </c>
    </row>
    <row r="43" spans="1:35" s="66" customFormat="1" ht="58.5" customHeight="1">
      <c r="A43" s="66">
        <v>33</v>
      </c>
      <c r="B43" s="89"/>
      <c r="C43" s="93" t="s">
        <v>671</v>
      </c>
      <c r="D43" s="50" t="s">
        <v>46</v>
      </c>
      <c r="E43" s="50" t="s">
        <v>777</v>
      </c>
      <c r="F43" s="132">
        <v>231321</v>
      </c>
      <c r="G43" s="132"/>
      <c r="H43" s="132"/>
      <c r="I43" s="132"/>
      <c r="J43" s="132"/>
      <c r="K43" s="132"/>
      <c r="L43" s="132">
        <v>232671</v>
      </c>
      <c r="M43" s="176"/>
      <c r="N43" s="118">
        <v>100000</v>
      </c>
      <c r="O43" s="32"/>
      <c r="P43" s="118"/>
      <c r="Q43" s="339"/>
      <c r="R43" s="35">
        <v>100000</v>
      </c>
      <c r="S43" s="35"/>
      <c r="T43" s="27"/>
      <c r="U43" s="155"/>
      <c r="V43" s="27"/>
      <c r="W43" s="142" t="s">
        <v>48</v>
      </c>
      <c r="X43" s="66" t="s">
        <v>425</v>
      </c>
      <c r="Y43" s="128">
        <f t="shared" si="13"/>
        <v>0</v>
      </c>
      <c r="AA43" s="341"/>
      <c r="AB43" s="341"/>
      <c r="AC43" s="341"/>
      <c r="AD43" s="341"/>
      <c r="AE43" s="62">
        <v>100000</v>
      </c>
      <c r="AF43" s="341"/>
      <c r="AG43" s="210">
        <f t="shared" si="3"/>
        <v>100000</v>
      </c>
      <c r="AH43" s="207" t="str">
        <f t="shared" si="4"/>
        <v>OK</v>
      </c>
      <c r="AI43" s="62">
        <v>100000</v>
      </c>
    </row>
    <row r="44" spans="1:35" s="66" customFormat="1" ht="48" customHeight="1">
      <c r="A44" s="66">
        <v>34</v>
      </c>
      <c r="B44" s="89"/>
      <c r="C44" s="217" t="s">
        <v>27</v>
      </c>
      <c r="D44" s="50" t="s">
        <v>622</v>
      </c>
      <c r="E44" s="50" t="s">
        <v>672</v>
      </c>
      <c r="F44" s="132" t="s">
        <v>442</v>
      </c>
      <c r="G44" s="132"/>
      <c r="H44" s="132"/>
      <c r="I44" s="132"/>
      <c r="J44" s="132"/>
      <c r="K44" s="132"/>
      <c r="L44" s="132" t="s">
        <v>442</v>
      </c>
      <c r="M44" s="176"/>
      <c r="N44" s="118">
        <v>150000</v>
      </c>
      <c r="O44" s="32" t="s">
        <v>442</v>
      </c>
      <c r="P44" s="118"/>
      <c r="Q44" s="339"/>
      <c r="R44" s="35">
        <v>150000</v>
      </c>
      <c r="S44" s="35"/>
      <c r="T44" s="27"/>
      <c r="U44" s="155"/>
      <c r="V44" s="27"/>
      <c r="W44" s="142" t="s">
        <v>50</v>
      </c>
      <c r="X44" s="66" t="s">
        <v>425</v>
      </c>
      <c r="Y44" s="128">
        <f t="shared" si="13"/>
        <v>0</v>
      </c>
      <c r="AA44" s="341"/>
      <c r="AB44" s="341"/>
      <c r="AC44" s="341"/>
      <c r="AD44" s="341"/>
      <c r="AE44" s="62">
        <v>150000</v>
      </c>
      <c r="AF44" s="341"/>
      <c r="AG44" s="210">
        <f t="shared" si="3"/>
        <v>150000</v>
      </c>
      <c r="AH44" s="207" t="str">
        <f t="shared" si="4"/>
        <v>OK</v>
      </c>
      <c r="AI44" s="62">
        <v>150000</v>
      </c>
    </row>
    <row r="45" spans="1:35" s="66" customFormat="1" ht="55.5" customHeight="1" thickBot="1">
      <c r="A45" s="66">
        <v>35</v>
      </c>
      <c r="B45" s="243"/>
      <c r="C45" s="217" t="s">
        <v>27</v>
      </c>
      <c r="D45" s="56" t="s">
        <v>746</v>
      </c>
      <c r="E45" s="50"/>
      <c r="F45" s="132">
        <v>313735</v>
      </c>
      <c r="G45" s="132"/>
      <c r="H45" s="132"/>
      <c r="I45" s="132"/>
      <c r="J45" s="132"/>
      <c r="K45" s="132"/>
      <c r="L45" s="132">
        <v>440278</v>
      </c>
      <c r="M45" s="176"/>
      <c r="N45" s="118">
        <v>100000</v>
      </c>
      <c r="O45" s="32">
        <v>474188</v>
      </c>
      <c r="P45" s="118"/>
      <c r="Q45" s="340"/>
      <c r="R45" s="35">
        <v>100000</v>
      </c>
      <c r="S45" s="35"/>
      <c r="T45" s="27"/>
      <c r="U45" s="155"/>
      <c r="V45" s="27"/>
      <c r="W45" s="142" t="s">
        <v>49</v>
      </c>
      <c r="X45" s="66" t="s">
        <v>425</v>
      </c>
      <c r="Y45" s="128">
        <f t="shared" si="13"/>
        <v>0</v>
      </c>
      <c r="AA45" s="341"/>
      <c r="AB45" s="341"/>
      <c r="AC45" s="341"/>
      <c r="AD45" s="341"/>
      <c r="AE45" s="62">
        <v>100000</v>
      </c>
      <c r="AF45" s="341"/>
      <c r="AG45" s="210">
        <f t="shared" si="3"/>
        <v>100000</v>
      </c>
      <c r="AH45" s="207" t="str">
        <f t="shared" si="4"/>
        <v>OK</v>
      </c>
      <c r="AI45" s="62">
        <v>100000</v>
      </c>
    </row>
    <row r="46" spans="2:34" s="66" customFormat="1" ht="31.5" customHeight="1" thickBot="1">
      <c r="B46" s="95"/>
      <c r="C46" s="69"/>
      <c r="D46" s="57"/>
      <c r="E46" s="57" t="s">
        <v>403</v>
      </c>
      <c r="F46" s="103">
        <f>SUM(F41:F45)</f>
        <v>915892</v>
      </c>
      <c r="G46" s="103">
        <f aca="true" t="shared" si="16" ref="G46:T46">SUM(G41:G45)</f>
        <v>0</v>
      </c>
      <c r="H46" s="103">
        <f t="shared" si="16"/>
        <v>0</v>
      </c>
      <c r="I46" s="103">
        <f t="shared" si="16"/>
        <v>0</v>
      </c>
      <c r="J46" s="103">
        <f t="shared" si="16"/>
        <v>0</v>
      </c>
      <c r="K46" s="103">
        <f t="shared" si="16"/>
        <v>0</v>
      </c>
      <c r="L46" s="103">
        <f t="shared" si="16"/>
        <v>1006270</v>
      </c>
      <c r="M46" s="121">
        <f t="shared" si="16"/>
        <v>0</v>
      </c>
      <c r="N46" s="333">
        <f t="shared" si="16"/>
        <v>442000</v>
      </c>
      <c r="O46" s="58">
        <f t="shared" si="16"/>
        <v>474188</v>
      </c>
      <c r="P46" s="121">
        <f t="shared" si="16"/>
        <v>0</v>
      </c>
      <c r="Q46" s="338">
        <f t="shared" si="16"/>
        <v>0</v>
      </c>
      <c r="R46" s="105">
        <f t="shared" si="16"/>
        <v>350000</v>
      </c>
      <c r="S46" s="105">
        <f t="shared" si="16"/>
        <v>0</v>
      </c>
      <c r="T46" s="106">
        <f t="shared" si="16"/>
        <v>92000</v>
      </c>
      <c r="U46" s="106"/>
      <c r="V46" s="370"/>
      <c r="W46" s="144"/>
      <c r="Y46" s="128">
        <f t="shared" si="13"/>
        <v>0</v>
      </c>
      <c r="AA46" s="333">
        <f aca="true" t="shared" si="17" ref="AA46:AF46">SUM(AA41:AA45)</f>
        <v>0</v>
      </c>
      <c r="AB46" s="333">
        <f t="shared" si="17"/>
        <v>0</v>
      </c>
      <c r="AC46" s="333">
        <f t="shared" si="17"/>
        <v>0</v>
      </c>
      <c r="AD46" s="333">
        <f t="shared" si="17"/>
        <v>0</v>
      </c>
      <c r="AE46" s="333">
        <f t="shared" si="17"/>
        <v>350000</v>
      </c>
      <c r="AF46" s="333">
        <f t="shared" si="17"/>
        <v>0</v>
      </c>
      <c r="AG46" s="210">
        <f t="shared" si="3"/>
        <v>350000</v>
      </c>
      <c r="AH46" s="207" t="str">
        <f t="shared" si="4"/>
        <v>OK</v>
      </c>
    </row>
    <row r="47" spans="1:34" s="66" customFormat="1" ht="38.25" customHeight="1" thickBot="1">
      <c r="A47" s="66">
        <v>36</v>
      </c>
      <c r="B47" s="88" t="s">
        <v>416</v>
      </c>
      <c r="C47" s="217" t="s">
        <v>536</v>
      </c>
      <c r="D47" s="56" t="s">
        <v>536</v>
      </c>
      <c r="E47" s="38" t="s">
        <v>569</v>
      </c>
      <c r="F47" s="131">
        <v>994932</v>
      </c>
      <c r="G47" s="131"/>
      <c r="H47" s="131"/>
      <c r="I47" s="131"/>
      <c r="J47" s="131"/>
      <c r="K47" s="131"/>
      <c r="L47" s="131">
        <v>1049459</v>
      </c>
      <c r="M47" s="177">
        <f>L47-F47</f>
        <v>54527</v>
      </c>
      <c r="N47" s="119">
        <v>54000</v>
      </c>
      <c r="O47" s="46"/>
      <c r="P47" s="119"/>
      <c r="Q47" s="337"/>
      <c r="R47" s="48"/>
      <c r="S47" s="48"/>
      <c r="T47" s="49">
        <v>54000</v>
      </c>
      <c r="U47" s="149"/>
      <c r="V47" s="49"/>
      <c r="W47" s="129" t="s">
        <v>570</v>
      </c>
      <c r="X47" s="66" t="s">
        <v>425</v>
      </c>
      <c r="Y47" s="128">
        <f t="shared" si="13"/>
        <v>0</v>
      </c>
      <c r="AA47" s="25"/>
      <c r="AG47" s="210">
        <f t="shared" si="3"/>
        <v>0</v>
      </c>
      <c r="AH47" s="207" t="str">
        <f t="shared" si="4"/>
        <v>OK</v>
      </c>
    </row>
    <row r="48" spans="2:34" s="66" customFormat="1" ht="31.5" customHeight="1" thickBot="1">
      <c r="B48" s="95"/>
      <c r="C48" s="69"/>
      <c r="D48" s="57"/>
      <c r="E48" s="57" t="s">
        <v>403</v>
      </c>
      <c r="F48" s="103">
        <f aca="true" t="shared" si="18" ref="F48:T48">SUM(F47:F47)</f>
        <v>994932</v>
      </c>
      <c r="G48" s="103">
        <f t="shared" si="18"/>
        <v>0</v>
      </c>
      <c r="H48" s="103">
        <f t="shared" si="18"/>
        <v>0</v>
      </c>
      <c r="I48" s="103">
        <f t="shared" si="18"/>
        <v>0</v>
      </c>
      <c r="J48" s="103">
        <f t="shared" si="18"/>
        <v>0</v>
      </c>
      <c r="K48" s="103">
        <f t="shared" si="18"/>
        <v>0</v>
      </c>
      <c r="L48" s="103">
        <f t="shared" si="18"/>
        <v>1049459</v>
      </c>
      <c r="M48" s="121">
        <f t="shared" si="18"/>
        <v>54527</v>
      </c>
      <c r="N48" s="333">
        <f t="shared" si="18"/>
        <v>54000</v>
      </c>
      <c r="O48" s="58">
        <f t="shared" si="18"/>
        <v>0</v>
      </c>
      <c r="P48" s="121">
        <f t="shared" si="18"/>
        <v>0</v>
      </c>
      <c r="Q48" s="338">
        <f t="shared" si="18"/>
        <v>0</v>
      </c>
      <c r="R48" s="105">
        <f t="shared" si="18"/>
        <v>0</v>
      </c>
      <c r="S48" s="105">
        <f t="shared" si="18"/>
        <v>0</v>
      </c>
      <c r="T48" s="106">
        <f t="shared" si="18"/>
        <v>54000</v>
      </c>
      <c r="U48" s="106"/>
      <c r="V48" s="370"/>
      <c r="W48" s="144"/>
      <c r="Y48" s="128">
        <f t="shared" si="13"/>
        <v>0</v>
      </c>
      <c r="AA48" s="333">
        <f aca="true" t="shared" si="19" ref="AA48:AF48">SUM(AA47:AA47)</f>
        <v>0</v>
      </c>
      <c r="AB48" s="333">
        <f t="shared" si="19"/>
        <v>0</v>
      </c>
      <c r="AC48" s="333">
        <f t="shared" si="19"/>
        <v>0</v>
      </c>
      <c r="AD48" s="333">
        <f t="shared" si="19"/>
        <v>0</v>
      </c>
      <c r="AE48" s="333">
        <f t="shared" si="19"/>
        <v>0</v>
      </c>
      <c r="AF48" s="333">
        <f t="shared" si="19"/>
        <v>0</v>
      </c>
      <c r="AG48" s="210">
        <f t="shared" si="3"/>
        <v>0</v>
      </c>
      <c r="AH48" s="207" t="str">
        <f t="shared" si="4"/>
        <v>OK</v>
      </c>
    </row>
    <row r="49" spans="1:34" s="66" customFormat="1" ht="50.25" customHeight="1">
      <c r="A49" s="66">
        <v>37</v>
      </c>
      <c r="B49" s="88" t="s">
        <v>415</v>
      </c>
      <c r="C49" s="217" t="s">
        <v>423</v>
      </c>
      <c r="D49" s="180" t="s">
        <v>751</v>
      </c>
      <c r="E49" s="38" t="s">
        <v>576</v>
      </c>
      <c r="F49" s="131">
        <v>92400</v>
      </c>
      <c r="G49" s="131"/>
      <c r="H49" s="131"/>
      <c r="I49" s="131"/>
      <c r="J49" s="131"/>
      <c r="K49" s="131"/>
      <c r="L49" s="131">
        <v>302564</v>
      </c>
      <c r="M49" s="177">
        <f>L49-F49</f>
        <v>210164</v>
      </c>
      <c r="N49" s="177">
        <v>92400</v>
      </c>
      <c r="O49" s="46"/>
      <c r="P49" s="177"/>
      <c r="Q49" s="190"/>
      <c r="R49" s="187"/>
      <c r="S49" s="187"/>
      <c r="T49" s="188">
        <v>92400</v>
      </c>
      <c r="U49" s="189"/>
      <c r="V49" s="188"/>
      <c r="W49" s="129" t="s">
        <v>368</v>
      </c>
      <c r="X49" s="66" t="s">
        <v>425</v>
      </c>
      <c r="Y49" s="128">
        <f t="shared" si="13"/>
        <v>0</v>
      </c>
      <c r="AG49" s="210">
        <f t="shared" si="3"/>
        <v>0</v>
      </c>
      <c r="AH49" s="207" t="str">
        <f t="shared" si="4"/>
        <v>OK</v>
      </c>
    </row>
    <row r="50" spans="1:35" s="66" customFormat="1" ht="52.5" customHeight="1">
      <c r="A50" s="66">
        <v>38</v>
      </c>
      <c r="B50" s="89"/>
      <c r="C50" s="92"/>
      <c r="D50" s="38" t="s">
        <v>753</v>
      </c>
      <c r="E50" s="38" t="s">
        <v>767</v>
      </c>
      <c r="F50" s="131">
        <v>1890994</v>
      </c>
      <c r="G50" s="131"/>
      <c r="H50" s="131"/>
      <c r="I50" s="131"/>
      <c r="J50" s="131"/>
      <c r="K50" s="131"/>
      <c r="L50" s="131">
        <v>1812592</v>
      </c>
      <c r="M50" s="177"/>
      <c r="N50" s="177">
        <v>9523</v>
      </c>
      <c r="O50" s="46">
        <v>1289596</v>
      </c>
      <c r="P50" s="177"/>
      <c r="Q50" s="190"/>
      <c r="R50" s="187"/>
      <c r="S50" s="187"/>
      <c r="T50" s="188">
        <v>9523</v>
      </c>
      <c r="U50" s="189"/>
      <c r="V50" s="188"/>
      <c r="W50" s="129" t="s">
        <v>240</v>
      </c>
      <c r="X50" s="66" t="s">
        <v>425</v>
      </c>
      <c r="Y50" s="128">
        <f t="shared" si="13"/>
        <v>0</v>
      </c>
      <c r="AE50" s="25"/>
      <c r="AF50" s="25"/>
      <c r="AG50" s="210">
        <f t="shared" si="3"/>
        <v>0</v>
      </c>
      <c r="AH50" s="207" t="str">
        <f t="shared" si="4"/>
        <v>OK</v>
      </c>
      <c r="AI50" s="25"/>
    </row>
    <row r="51" spans="1:35" s="66" customFormat="1" ht="42" customHeight="1">
      <c r="A51" s="66">
        <v>39</v>
      </c>
      <c r="B51" s="89"/>
      <c r="C51" s="93" t="s">
        <v>133</v>
      </c>
      <c r="D51" s="56" t="s">
        <v>247</v>
      </c>
      <c r="E51" s="38" t="s">
        <v>248</v>
      </c>
      <c r="F51" s="131">
        <v>89266990</v>
      </c>
      <c r="G51" s="131"/>
      <c r="H51" s="131"/>
      <c r="I51" s="131"/>
      <c r="J51" s="131"/>
      <c r="K51" s="131"/>
      <c r="L51" s="131">
        <v>94836968</v>
      </c>
      <c r="M51" s="177"/>
      <c r="N51" s="119">
        <v>700000</v>
      </c>
      <c r="O51" s="46">
        <v>172719066</v>
      </c>
      <c r="P51" s="119"/>
      <c r="Q51" s="337"/>
      <c r="R51" s="48"/>
      <c r="S51" s="48"/>
      <c r="T51" s="49">
        <v>700000</v>
      </c>
      <c r="U51" s="149"/>
      <c r="V51" s="49"/>
      <c r="W51" s="129" t="s">
        <v>233</v>
      </c>
      <c r="X51" s="66" t="s">
        <v>425</v>
      </c>
      <c r="Y51" s="128">
        <f t="shared" si="13"/>
        <v>0</v>
      </c>
      <c r="AA51" s="25"/>
      <c r="AB51" s="25"/>
      <c r="AC51" s="25"/>
      <c r="AD51" s="25"/>
      <c r="AE51" s="25"/>
      <c r="AF51" s="25"/>
      <c r="AG51" s="210">
        <f t="shared" si="3"/>
        <v>0</v>
      </c>
      <c r="AH51" s="207" t="str">
        <f t="shared" si="4"/>
        <v>OK</v>
      </c>
      <c r="AI51" s="25"/>
    </row>
    <row r="52" spans="1:35" s="66" customFormat="1" ht="42" customHeight="1">
      <c r="A52" s="66">
        <v>40</v>
      </c>
      <c r="B52" s="89"/>
      <c r="C52" s="93" t="s">
        <v>593</v>
      </c>
      <c r="D52" s="38" t="s">
        <v>594</v>
      </c>
      <c r="E52" s="38" t="s">
        <v>595</v>
      </c>
      <c r="F52" s="131">
        <v>7997032</v>
      </c>
      <c r="G52" s="131"/>
      <c r="H52" s="131"/>
      <c r="I52" s="131"/>
      <c r="J52" s="131"/>
      <c r="K52" s="131"/>
      <c r="L52" s="131">
        <v>8801340</v>
      </c>
      <c r="M52" s="177"/>
      <c r="N52" s="119">
        <v>200000</v>
      </c>
      <c r="O52" s="46"/>
      <c r="P52" s="119"/>
      <c r="Q52" s="337"/>
      <c r="R52" s="48">
        <v>200000</v>
      </c>
      <c r="S52" s="48"/>
      <c r="T52" s="49"/>
      <c r="U52" s="149"/>
      <c r="V52" s="49"/>
      <c r="W52" s="129" t="s">
        <v>353</v>
      </c>
      <c r="X52" s="66" t="s">
        <v>425</v>
      </c>
      <c r="Y52" s="128">
        <f t="shared" si="13"/>
        <v>0</v>
      </c>
      <c r="AE52" s="62">
        <v>200000</v>
      </c>
      <c r="AF52" s="25"/>
      <c r="AG52" s="210">
        <f t="shared" si="3"/>
        <v>200000</v>
      </c>
      <c r="AH52" s="207" t="str">
        <f t="shared" si="4"/>
        <v>OK</v>
      </c>
      <c r="AI52" s="62">
        <v>200000</v>
      </c>
    </row>
    <row r="53" spans="1:35" s="66" customFormat="1" ht="42.75" customHeight="1">
      <c r="A53" s="66">
        <v>41</v>
      </c>
      <c r="B53" s="89"/>
      <c r="C53" s="217" t="s">
        <v>676</v>
      </c>
      <c r="D53" s="38" t="s">
        <v>132</v>
      </c>
      <c r="E53" s="38" t="s">
        <v>677</v>
      </c>
      <c r="F53" s="131" t="s">
        <v>442</v>
      </c>
      <c r="G53" s="131"/>
      <c r="H53" s="131"/>
      <c r="I53" s="131"/>
      <c r="J53" s="131"/>
      <c r="K53" s="131"/>
      <c r="L53" s="131" t="s">
        <v>442</v>
      </c>
      <c r="M53" s="177"/>
      <c r="N53" s="119">
        <v>113627</v>
      </c>
      <c r="O53" s="46" t="s">
        <v>442</v>
      </c>
      <c r="P53" s="119"/>
      <c r="Q53" s="337"/>
      <c r="R53" s="48">
        <v>113627</v>
      </c>
      <c r="S53" s="48"/>
      <c r="T53" s="49"/>
      <c r="U53" s="149"/>
      <c r="V53" s="49"/>
      <c r="W53" s="129" t="s">
        <v>47</v>
      </c>
      <c r="X53" s="66" t="s">
        <v>425</v>
      </c>
      <c r="Y53" s="128">
        <f t="shared" si="13"/>
        <v>0</v>
      </c>
      <c r="AE53" s="62">
        <v>113627</v>
      </c>
      <c r="AF53" s="62"/>
      <c r="AG53" s="210">
        <f t="shared" si="3"/>
        <v>113627</v>
      </c>
      <c r="AH53" s="207" t="str">
        <f t="shared" si="4"/>
        <v>OK</v>
      </c>
      <c r="AI53" s="62">
        <v>113627</v>
      </c>
    </row>
    <row r="54" spans="1:35" s="66" customFormat="1" ht="62.25" customHeight="1">
      <c r="A54" s="66">
        <v>42</v>
      </c>
      <c r="B54" s="89"/>
      <c r="C54" s="217"/>
      <c r="D54" s="38" t="s">
        <v>132</v>
      </c>
      <c r="E54" s="38" t="s">
        <v>294</v>
      </c>
      <c r="F54" s="131">
        <v>1120189</v>
      </c>
      <c r="G54" s="131"/>
      <c r="H54" s="131"/>
      <c r="I54" s="131"/>
      <c r="J54" s="131"/>
      <c r="K54" s="131"/>
      <c r="L54" s="131">
        <v>1128424</v>
      </c>
      <c r="M54" s="177"/>
      <c r="N54" s="119">
        <v>120000</v>
      </c>
      <c r="O54" s="46"/>
      <c r="P54" s="119"/>
      <c r="Q54" s="337"/>
      <c r="R54" s="48"/>
      <c r="S54" s="48"/>
      <c r="T54" s="49">
        <v>120000</v>
      </c>
      <c r="U54" s="149"/>
      <c r="V54" s="49"/>
      <c r="W54" s="129" t="s">
        <v>295</v>
      </c>
      <c r="X54" s="66" t="s">
        <v>425</v>
      </c>
      <c r="Y54" s="128">
        <f t="shared" si="13"/>
        <v>0</v>
      </c>
      <c r="AA54" s="25"/>
      <c r="AB54" s="25"/>
      <c r="AC54" s="25"/>
      <c r="AD54" s="25"/>
      <c r="AE54" s="62"/>
      <c r="AF54" s="62"/>
      <c r="AG54" s="210">
        <f t="shared" si="3"/>
        <v>0</v>
      </c>
      <c r="AH54" s="207" t="str">
        <f t="shared" si="4"/>
        <v>OK</v>
      </c>
      <c r="AI54" s="62"/>
    </row>
    <row r="55" spans="1:34" s="66" customFormat="1" ht="69.75" customHeight="1">
      <c r="A55" s="66">
        <v>43</v>
      </c>
      <c r="B55" s="89"/>
      <c r="C55" s="218" t="s">
        <v>424</v>
      </c>
      <c r="D55" s="38" t="s">
        <v>804</v>
      </c>
      <c r="E55" s="38" t="s">
        <v>20</v>
      </c>
      <c r="F55" s="131" t="s">
        <v>442</v>
      </c>
      <c r="G55" s="131"/>
      <c r="H55" s="131"/>
      <c r="I55" s="131"/>
      <c r="J55" s="131"/>
      <c r="K55" s="131"/>
      <c r="L55" s="131" t="s">
        <v>442</v>
      </c>
      <c r="M55" s="177"/>
      <c r="N55" s="26">
        <v>5000</v>
      </c>
      <c r="O55" s="46" t="s">
        <v>442</v>
      </c>
      <c r="P55" s="119"/>
      <c r="Q55" s="47"/>
      <c r="R55" s="48"/>
      <c r="S55" s="48"/>
      <c r="T55" s="49">
        <v>5000</v>
      </c>
      <c r="U55" s="149"/>
      <c r="V55" s="49"/>
      <c r="W55" s="129" t="s">
        <v>25</v>
      </c>
      <c r="X55" s="66" t="s">
        <v>425</v>
      </c>
      <c r="Y55" s="128">
        <f t="shared" si="13"/>
        <v>0</v>
      </c>
      <c r="AF55" s="25"/>
      <c r="AG55" s="210">
        <f t="shared" si="3"/>
        <v>0</v>
      </c>
      <c r="AH55" s="207" t="str">
        <f t="shared" si="4"/>
        <v>OK</v>
      </c>
    </row>
    <row r="56" spans="1:35" s="66" customFormat="1" ht="43.5" customHeight="1" thickBot="1">
      <c r="A56" s="66">
        <v>44</v>
      </c>
      <c r="B56" s="243"/>
      <c r="C56" s="218" t="s">
        <v>584</v>
      </c>
      <c r="D56" s="38" t="s">
        <v>585</v>
      </c>
      <c r="E56" s="38" t="s">
        <v>586</v>
      </c>
      <c r="F56" s="131" t="s">
        <v>518</v>
      </c>
      <c r="G56" s="131"/>
      <c r="H56" s="131"/>
      <c r="I56" s="131"/>
      <c r="J56" s="131"/>
      <c r="K56" s="131"/>
      <c r="L56" s="131">
        <v>1934</v>
      </c>
      <c r="M56" s="177"/>
      <c r="N56" s="26">
        <v>1934</v>
      </c>
      <c r="O56" s="46"/>
      <c r="P56" s="119"/>
      <c r="Q56" s="47"/>
      <c r="R56" s="48"/>
      <c r="S56" s="48"/>
      <c r="T56" s="49">
        <v>1934</v>
      </c>
      <c r="U56" s="149"/>
      <c r="V56" s="49"/>
      <c r="W56" s="129" t="s">
        <v>587</v>
      </c>
      <c r="X56" s="66" t="s">
        <v>425</v>
      </c>
      <c r="Y56" s="128">
        <f t="shared" si="13"/>
        <v>0</v>
      </c>
      <c r="AB56" s="25"/>
      <c r="AE56" s="156"/>
      <c r="AG56" s="210">
        <f t="shared" si="3"/>
        <v>0</v>
      </c>
      <c r="AH56" s="207" t="str">
        <f t="shared" si="4"/>
        <v>OK</v>
      </c>
      <c r="AI56" s="156"/>
    </row>
    <row r="57" spans="2:34" s="66" customFormat="1" ht="31.5" customHeight="1" thickBot="1">
      <c r="B57" s="95"/>
      <c r="C57" s="69"/>
      <c r="D57" s="57"/>
      <c r="E57" s="57" t="s">
        <v>403</v>
      </c>
      <c r="F57" s="103">
        <f>SUM(F49:F56)</f>
        <v>100367605</v>
      </c>
      <c r="G57" s="103">
        <f aca="true" t="shared" si="20" ref="G57:T57">SUM(G49:G56)</f>
        <v>0</v>
      </c>
      <c r="H57" s="103">
        <f t="shared" si="20"/>
        <v>0</v>
      </c>
      <c r="I57" s="103">
        <f t="shared" si="20"/>
        <v>0</v>
      </c>
      <c r="J57" s="103">
        <f t="shared" si="20"/>
        <v>0</v>
      </c>
      <c r="K57" s="103">
        <f t="shared" si="20"/>
        <v>0</v>
      </c>
      <c r="L57" s="103">
        <f t="shared" si="20"/>
        <v>106883822</v>
      </c>
      <c r="M57" s="121">
        <f t="shared" si="20"/>
        <v>210164</v>
      </c>
      <c r="N57" s="333">
        <f t="shared" si="20"/>
        <v>1242484</v>
      </c>
      <c r="O57" s="58">
        <f t="shared" si="20"/>
        <v>174008662</v>
      </c>
      <c r="P57" s="121">
        <f t="shared" si="20"/>
        <v>0</v>
      </c>
      <c r="Q57" s="338">
        <f t="shared" si="20"/>
        <v>0</v>
      </c>
      <c r="R57" s="105">
        <f t="shared" si="20"/>
        <v>313627</v>
      </c>
      <c r="S57" s="105">
        <f t="shared" si="20"/>
        <v>0</v>
      </c>
      <c r="T57" s="106">
        <f t="shared" si="20"/>
        <v>928857</v>
      </c>
      <c r="U57" s="106"/>
      <c r="V57" s="370"/>
      <c r="W57" s="144"/>
      <c r="Y57" s="128">
        <f t="shared" si="13"/>
        <v>0</v>
      </c>
      <c r="AA57" s="333">
        <f aca="true" t="shared" si="21" ref="AA57:AF57">SUM(AA49:AA56)</f>
        <v>0</v>
      </c>
      <c r="AB57" s="333">
        <f t="shared" si="21"/>
        <v>0</v>
      </c>
      <c r="AC57" s="333">
        <f t="shared" si="21"/>
        <v>0</v>
      </c>
      <c r="AD57" s="333">
        <f t="shared" si="21"/>
        <v>0</v>
      </c>
      <c r="AE57" s="333">
        <f t="shared" si="21"/>
        <v>313627</v>
      </c>
      <c r="AF57" s="333">
        <f t="shared" si="21"/>
        <v>0</v>
      </c>
      <c r="AG57" s="210">
        <f t="shared" si="3"/>
        <v>313627</v>
      </c>
      <c r="AH57" s="207" t="str">
        <f t="shared" si="4"/>
        <v>OK</v>
      </c>
    </row>
    <row r="58" spans="2:35" s="66" customFormat="1" ht="31.5" customHeight="1" thickBot="1">
      <c r="B58" s="109"/>
      <c r="C58" s="65"/>
      <c r="D58" s="65"/>
      <c r="E58" s="138" t="s">
        <v>156</v>
      </c>
      <c r="F58" s="375">
        <f>F8+F23+F31+F34+F36+F40+F46+F48+F57</f>
        <v>114989391</v>
      </c>
      <c r="G58" s="376">
        <f aca="true" t="shared" si="22" ref="G58:T58">G8+G23+G31+G34+G36+G40+G46+G48+G57</f>
        <v>0</v>
      </c>
      <c r="H58" s="376">
        <f t="shared" si="22"/>
        <v>0</v>
      </c>
      <c r="I58" s="376">
        <f t="shared" si="22"/>
        <v>0</v>
      </c>
      <c r="J58" s="376">
        <f t="shared" si="22"/>
        <v>0</v>
      </c>
      <c r="K58" s="376">
        <f t="shared" si="22"/>
        <v>0</v>
      </c>
      <c r="L58" s="376">
        <f t="shared" si="22"/>
        <v>122678661</v>
      </c>
      <c r="M58" s="376">
        <f t="shared" si="22"/>
        <v>1035652</v>
      </c>
      <c r="N58" s="31">
        <f>N8+N23+N31+N34+N36+N40+N46+N48+N57</f>
        <v>12157841</v>
      </c>
      <c r="O58" s="110">
        <f t="shared" si="22"/>
        <v>183908829</v>
      </c>
      <c r="P58" s="114">
        <f t="shared" si="22"/>
        <v>0</v>
      </c>
      <c r="Q58" s="110">
        <f t="shared" si="22"/>
        <v>0</v>
      </c>
      <c r="R58" s="111">
        <f t="shared" si="22"/>
        <v>716993</v>
      </c>
      <c r="S58" s="111">
        <f t="shared" si="22"/>
        <v>0</v>
      </c>
      <c r="T58" s="112">
        <f t="shared" si="22"/>
        <v>11440848</v>
      </c>
      <c r="U58" s="112"/>
      <c r="V58" s="371"/>
      <c r="W58" s="87"/>
      <c r="Y58" s="128">
        <f t="shared" si="13"/>
        <v>0</v>
      </c>
      <c r="AA58" s="112">
        <f aca="true" t="shared" si="23" ref="AA58:AF58">AA8+AA23+AA31+AA34+AA36+AA40+AA46+AA48+AA57</f>
        <v>0</v>
      </c>
      <c r="AB58" s="112">
        <f t="shared" si="23"/>
        <v>0</v>
      </c>
      <c r="AC58" s="112">
        <f t="shared" si="23"/>
        <v>0</v>
      </c>
      <c r="AD58" s="112">
        <f t="shared" si="23"/>
        <v>0</v>
      </c>
      <c r="AE58" s="112">
        <f t="shared" si="23"/>
        <v>716993</v>
      </c>
      <c r="AF58" s="112">
        <f t="shared" si="23"/>
        <v>0</v>
      </c>
      <c r="AG58" s="210">
        <f t="shared" si="3"/>
        <v>716993</v>
      </c>
      <c r="AH58" s="234" t="str">
        <f t="shared" si="4"/>
        <v>OK</v>
      </c>
      <c r="AI58" s="76"/>
    </row>
    <row r="60" ht="14.25" thickBot="1"/>
    <row r="61" spans="2:22" ht="31.5" customHeight="1" thickBot="1">
      <c r="B61" s="367"/>
      <c r="C61" s="885" t="s">
        <v>579</v>
      </c>
      <c r="D61" s="885"/>
      <c r="E61" s="69"/>
      <c r="F61" s="103"/>
      <c r="G61" s="373"/>
      <c r="H61" s="374">
        <f>H12+H58</f>
        <v>0</v>
      </c>
      <c r="I61" s="374">
        <f>I12+I58</f>
        <v>0</v>
      </c>
      <c r="J61" s="374">
        <f>J12+J58</f>
        <v>0</v>
      </c>
      <c r="K61" s="374">
        <f>K12+K58</f>
        <v>0</v>
      </c>
      <c r="L61" s="374">
        <f>L12+L58</f>
        <v>122908029</v>
      </c>
      <c r="M61" s="374"/>
      <c r="N61" s="31">
        <f>'08減額'!N135+N58</f>
        <v>-65976447</v>
      </c>
      <c r="O61" s="368">
        <f>'08減額'!O135+O58</f>
        <v>382499963</v>
      </c>
      <c r="P61" s="369">
        <f>'08減額'!P135+P58</f>
        <v>-2918426</v>
      </c>
      <c r="Q61" s="368">
        <f>'08減額'!Q135+Q58</f>
        <v>-15224162</v>
      </c>
      <c r="R61" s="111">
        <f>'08減額'!R135+R58</f>
        <v>-6370245</v>
      </c>
      <c r="S61" s="111">
        <f>'08減額'!S135+S58</f>
        <v>-44382040</v>
      </c>
      <c r="T61" s="112">
        <f>'08減額'!T135+T58</f>
        <v>0</v>
      </c>
      <c r="U61" s="112"/>
      <c r="V61" s="144"/>
    </row>
  </sheetData>
  <mergeCells count="3">
    <mergeCell ref="H3:K3"/>
    <mergeCell ref="Q3:T3"/>
    <mergeCell ref="C61:D61"/>
  </mergeCells>
  <printOptions/>
  <pageMargins left="0.38" right="0.25" top="0.36" bottom="0.38" header="0.31" footer="0.21"/>
  <pageSetup horizontalDpi="600" verticalDpi="600" orientation="portrait" paperSize="9" scale="95" r:id="rId1"/>
  <rowBreaks count="2" manualBreakCount="2">
    <brk id="21" min="1" max="20" man="1"/>
    <brk id="41" min="1" max="20" man="1"/>
  </rowBreaks>
</worksheet>
</file>

<file path=xl/worksheets/sheet2.xml><?xml version="1.0" encoding="utf-8"?>
<worksheet xmlns="http://schemas.openxmlformats.org/spreadsheetml/2006/main" xmlns:r="http://schemas.openxmlformats.org/officeDocument/2006/relationships">
  <dimension ref="A1:G14"/>
  <sheetViews>
    <sheetView workbookViewId="0" topLeftCell="A5">
      <selection activeCell="A15" sqref="A15"/>
    </sheetView>
  </sheetViews>
  <sheetFormatPr defaultColWidth="9.00390625" defaultRowHeight="13.5"/>
  <cols>
    <col min="1" max="1" width="16.75390625" style="6" customWidth="1"/>
    <col min="2" max="2" width="10.00390625" style="6" customWidth="1"/>
    <col min="3" max="3" width="19.125" style="7" customWidth="1"/>
    <col min="4" max="4" width="49.375" style="6" customWidth="1"/>
    <col min="5" max="6" width="37.00390625" style="3" customWidth="1"/>
    <col min="7" max="7" width="37.00390625" style="4" customWidth="1"/>
    <col min="8" max="8" width="11.75390625" style="3" customWidth="1"/>
    <col min="9" max="9" width="18.00390625" style="3" customWidth="1"/>
    <col min="10" max="12" width="14.125" style="3" customWidth="1"/>
    <col min="13" max="13" width="12.125" style="3" bestFit="1" customWidth="1"/>
    <col min="14" max="15" width="10.00390625" style="3" bestFit="1" customWidth="1"/>
    <col min="16" max="16" width="9.00390625" style="3" customWidth="1"/>
    <col min="17" max="17" width="9.625" style="3" bestFit="1" customWidth="1"/>
    <col min="18" max="16384" width="9.00390625" style="3" customWidth="1"/>
  </cols>
  <sheetData>
    <row r="1" ht="35.25" customHeight="1">
      <c r="A1" s="2" t="s">
        <v>726</v>
      </c>
    </row>
    <row r="2" spans="1:4" ht="27.75" customHeight="1">
      <c r="A2" s="22" t="s">
        <v>136</v>
      </c>
      <c r="B2" s="3"/>
      <c r="C2" s="23" t="s">
        <v>679</v>
      </c>
      <c r="D2" s="5" t="s">
        <v>137</v>
      </c>
    </row>
    <row r="3" ht="14.25" customHeight="1" thickBot="1"/>
    <row r="4" spans="1:7" s="8" customFormat="1" ht="24.75" customHeight="1">
      <c r="A4" s="850" t="s">
        <v>138</v>
      </c>
      <c r="B4" s="821" t="s">
        <v>120</v>
      </c>
      <c r="C4" s="823" t="s">
        <v>118</v>
      </c>
      <c r="D4" s="846" t="s">
        <v>139</v>
      </c>
      <c r="G4" s="9"/>
    </row>
    <row r="5" spans="1:7" s="8" customFormat="1" ht="12.75" customHeight="1" thickBot="1">
      <c r="A5" s="851"/>
      <c r="B5" s="822"/>
      <c r="C5" s="824"/>
      <c r="D5" s="847"/>
      <c r="G5" s="9"/>
    </row>
    <row r="6" spans="1:7" s="8" customFormat="1" ht="38.25" customHeight="1">
      <c r="A6" s="14" t="s">
        <v>140</v>
      </c>
      <c r="B6" s="13"/>
      <c r="C6" s="10">
        <f>'11年増減額一覧表'!AO158</f>
        <v>-2798779</v>
      </c>
      <c r="D6" s="19" t="s">
        <v>141</v>
      </c>
      <c r="F6" s="8">
        <v>-4020569</v>
      </c>
      <c r="G6" s="9"/>
    </row>
    <row r="7" spans="1:6" ht="38.25" customHeight="1">
      <c r="A7" s="14" t="s">
        <v>142</v>
      </c>
      <c r="B7" s="15"/>
      <c r="C7" s="11">
        <f>'11年増減額一覧表'!AP158</f>
        <v>-8400</v>
      </c>
      <c r="D7" s="20" t="s">
        <v>258</v>
      </c>
      <c r="F7" s="3">
        <v>-11239</v>
      </c>
    </row>
    <row r="8" spans="1:6" ht="38.25" customHeight="1">
      <c r="A8" s="16" t="s">
        <v>115</v>
      </c>
      <c r="B8" s="15"/>
      <c r="C8" s="11">
        <f>'11年増減額一覧表'!P158</f>
        <v>-9806510</v>
      </c>
      <c r="D8" s="20" t="s">
        <v>603</v>
      </c>
      <c r="F8" s="3">
        <v>-16459883.833333334</v>
      </c>
    </row>
    <row r="9" spans="1:6" ht="38.25" customHeight="1" hidden="1">
      <c r="A9" s="17" t="s">
        <v>681</v>
      </c>
      <c r="B9" s="15"/>
      <c r="C9" s="11">
        <f>'11年増減額一覧表'!AQ158</f>
        <v>0</v>
      </c>
      <c r="D9" s="20"/>
      <c r="F9" s="3">
        <v>0</v>
      </c>
    </row>
    <row r="10" spans="1:6" ht="38.25" customHeight="1">
      <c r="A10" s="17" t="s">
        <v>615</v>
      </c>
      <c r="B10" s="15"/>
      <c r="C10" s="11">
        <f>'11年増減額一覧表'!AR158</f>
        <v>-300</v>
      </c>
      <c r="D10" s="20" t="s">
        <v>24</v>
      </c>
      <c r="F10" s="3">
        <v>-4399</v>
      </c>
    </row>
    <row r="11" spans="1:6" ht="38.25" customHeight="1">
      <c r="A11" s="17" t="s">
        <v>143</v>
      </c>
      <c r="B11" s="15"/>
      <c r="C11" s="11">
        <f>'11年増減額一覧表'!AS158</f>
        <v>-975529</v>
      </c>
      <c r="D11" s="20" t="s">
        <v>682</v>
      </c>
      <c r="F11" s="3">
        <v>-23060</v>
      </c>
    </row>
    <row r="12" spans="1:6" ht="38.25" customHeight="1">
      <c r="A12" s="17" t="s">
        <v>683</v>
      </c>
      <c r="B12" s="15"/>
      <c r="C12" s="11">
        <f>'11年増減額一覧表'!AT158</f>
        <v>-161826</v>
      </c>
      <c r="D12" s="20" t="s">
        <v>684</v>
      </c>
      <c r="F12" s="3">
        <v>-1458093</v>
      </c>
    </row>
    <row r="13" spans="1:6" ht="38.25" customHeight="1" thickBot="1">
      <c r="A13" s="18" t="s">
        <v>144</v>
      </c>
      <c r="B13" s="15"/>
      <c r="C13" s="11">
        <f>'11年増減額一覧表'!R158</f>
        <v>-31039700</v>
      </c>
      <c r="D13" s="20"/>
      <c r="F13" s="3">
        <v>-47876000</v>
      </c>
    </row>
    <row r="14" spans="1:4" ht="38.25" customHeight="1" thickBot="1">
      <c r="A14" s="848" t="s">
        <v>145</v>
      </c>
      <c r="B14" s="849"/>
      <c r="C14" s="12">
        <f>SUM(C6:C13)</f>
        <v>-44791044</v>
      </c>
      <c r="D14" s="21"/>
    </row>
  </sheetData>
  <mergeCells count="5">
    <mergeCell ref="D4:D5"/>
    <mergeCell ref="A14:B14"/>
    <mergeCell ref="A4:A5"/>
    <mergeCell ref="B4:B5"/>
    <mergeCell ref="C4:C5"/>
  </mergeCells>
  <printOptions/>
  <pageMargins left="0.54" right="0.3" top="0.64" bottom="0.984251968503937" header="0.5118110236220472" footer="0.5118110236220472"/>
  <pageSetup horizontalDpi="600" verticalDpi="600" orientation="portrait" paperSize="9" r:id="rId1"/>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AX169"/>
  <sheetViews>
    <sheetView view="pageBreakPreview" zoomScale="90" zoomScaleSheetLayoutView="90" workbookViewId="0" topLeftCell="A1">
      <pane xSplit="4" ySplit="6" topLeftCell="J111" activePane="bottomRight" state="frozen"/>
      <selection pane="topLeft" activeCell="A1" sqref="A1"/>
      <selection pane="topRight" activeCell="E1" sqref="E1"/>
      <selection pane="bottomLeft" activeCell="A7" sqref="A7"/>
      <selection pane="bottomRight" activeCell="D112" sqref="D112"/>
    </sheetView>
  </sheetViews>
  <sheetFormatPr defaultColWidth="9.00390625" defaultRowHeight="13.5"/>
  <cols>
    <col min="1" max="1" width="3.00390625" style="66" customWidth="1"/>
    <col min="2" max="2" width="4.875" style="66" customWidth="1"/>
    <col min="3" max="3" width="7.50390625" style="66" customWidth="1"/>
    <col min="4" max="4" width="11.00390625" style="66" customWidth="1"/>
    <col min="5" max="5" width="11.00390625" style="66" hidden="1" customWidth="1"/>
    <col min="6" max="6" width="10.25390625" style="66" hidden="1" customWidth="1"/>
    <col min="7" max="7" width="9.25390625" style="66" hidden="1" customWidth="1"/>
    <col min="8" max="8" width="9.25390625" style="619" hidden="1" customWidth="1"/>
    <col min="9" max="9" width="13.50390625" style="619" hidden="1" customWidth="1"/>
    <col min="10" max="10" width="11.00390625" style="66" customWidth="1"/>
    <col min="11" max="14" width="11.00390625" style="66" hidden="1" customWidth="1"/>
    <col min="15" max="19" width="11.00390625" style="733" customWidth="1"/>
    <col min="20" max="20" width="6.625" style="733" hidden="1" customWidth="1"/>
    <col min="21" max="21" width="6.625" style="733" customWidth="1"/>
    <col min="22" max="22" width="16.50390625" style="147" customWidth="1"/>
    <col min="23" max="36" width="16.50390625" style="66" hidden="1" customWidth="1"/>
    <col min="37" max="37" width="16.50390625" style="147" hidden="1" customWidth="1"/>
    <col min="38" max="38" width="16.50390625" style="66" customWidth="1"/>
    <col min="39" max="39" width="10.25390625" style="66" customWidth="1"/>
    <col min="40" max="40" width="3.25390625" style="66" customWidth="1"/>
    <col min="41" max="41" width="15.75390625" style="66" customWidth="1"/>
    <col min="42" max="42" width="16.125" style="66" customWidth="1"/>
    <col min="43" max="44" width="10.125" style="66" customWidth="1"/>
    <col min="45" max="45" width="15.25390625" style="66" customWidth="1"/>
    <col min="46" max="47" width="11.125" style="66" customWidth="1"/>
    <col min="48" max="48" width="18.125" style="66" customWidth="1"/>
    <col min="49" max="49" width="13.875" style="66" customWidth="1"/>
    <col min="50" max="50" width="9.375" style="66" bestFit="1" customWidth="1"/>
    <col min="51" max="16384" width="9.00390625" style="66" customWidth="1"/>
  </cols>
  <sheetData>
    <row r="1" spans="1:37" ht="26.25" customHeight="1">
      <c r="A1" s="70"/>
      <c r="B1" s="71"/>
      <c r="C1" s="72"/>
      <c r="D1" s="29"/>
      <c r="E1" s="29"/>
      <c r="F1" s="29"/>
      <c r="G1" s="29"/>
      <c r="H1" s="29"/>
      <c r="I1" s="29"/>
      <c r="J1" s="29"/>
      <c r="K1" s="29"/>
      <c r="L1" s="29"/>
      <c r="M1" s="29"/>
      <c r="N1" s="29"/>
      <c r="O1" s="731"/>
      <c r="P1" s="749" t="s">
        <v>772</v>
      </c>
      <c r="Q1" s="731"/>
      <c r="R1" s="731"/>
      <c r="S1" s="731"/>
      <c r="T1" s="731"/>
      <c r="U1" s="731"/>
      <c r="V1" s="140"/>
      <c r="W1" s="29"/>
      <c r="X1" s="29"/>
      <c r="Y1" s="29"/>
      <c r="Z1" s="29"/>
      <c r="AA1" s="29"/>
      <c r="AB1" s="29"/>
      <c r="AC1" s="29"/>
      <c r="AD1" s="29"/>
      <c r="AE1" s="29"/>
      <c r="AF1" s="29"/>
      <c r="AG1" s="29"/>
      <c r="AH1" s="29"/>
      <c r="AI1" s="29"/>
      <c r="AJ1" s="29"/>
      <c r="AK1" s="140"/>
    </row>
    <row r="2" spans="1:37" ht="29.25" customHeight="1" thickBot="1">
      <c r="A2" s="70"/>
      <c r="B2" s="71"/>
      <c r="C2" s="72"/>
      <c r="D2" s="29"/>
      <c r="E2" s="29"/>
      <c r="F2" s="29"/>
      <c r="G2" s="29"/>
      <c r="H2" s="29"/>
      <c r="I2" s="29"/>
      <c r="J2" s="29"/>
      <c r="K2" s="29"/>
      <c r="L2" s="29"/>
      <c r="M2" s="29"/>
      <c r="N2" s="29"/>
      <c r="O2" s="731"/>
      <c r="P2" s="749" t="s">
        <v>773</v>
      </c>
      <c r="Q2" s="731"/>
      <c r="R2" s="731"/>
      <c r="S2" s="731"/>
      <c r="T2" s="731"/>
      <c r="U2" s="731"/>
      <c r="V2" s="140" t="s">
        <v>548</v>
      </c>
      <c r="W2" s="29"/>
      <c r="X2" s="825" t="s">
        <v>7</v>
      </c>
      <c r="Y2" s="825"/>
      <c r="Z2" s="825"/>
      <c r="AA2" s="825"/>
      <c r="AB2" s="825"/>
      <c r="AC2" s="825"/>
      <c r="AD2" s="825"/>
      <c r="AE2" s="825"/>
      <c r="AF2" s="29"/>
      <c r="AG2" s="378" t="s">
        <v>246</v>
      </c>
      <c r="AH2" s="29"/>
      <c r="AI2" s="29"/>
      <c r="AJ2" s="29"/>
      <c r="AK2" s="141" t="s">
        <v>547</v>
      </c>
    </row>
    <row r="3" spans="2:37" ht="17.25" customHeight="1">
      <c r="B3" s="73"/>
      <c r="C3" s="74" t="s">
        <v>158</v>
      </c>
      <c r="D3" s="75" t="s">
        <v>124</v>
      </c>
      <c r="E3" s="75"/>
      <c r="F3" s="75"/>
      <c r="G3" s="75"/>
      <c r="H3" s="618"/>
      <c r="I3" s="618"/>
      <c r="J3" s="75"/>
      <c r="K3" s="75"/>
      <c r="L3" s="75"/>
      <c r="M3" s="75"/>
      <c r="N3" s="75"/>
      <c r="O3" s="732"/>
      <c r="P3" s="732"/>
      <c r="Q3" s="732"/>
      <c r="R3" s="732"/>
      <c r="S3" s="732"/>
      <c r="T3" s="732"/>
      <c r="U3" s="732"/>
      <c r="V3" s="141"/>
      <c r="W3" s="76"/>
      <c r="X3" s="75"/>
      <c r="Y3" s="75"/>
      <c r="Z3" s="75"/>
      <c r="AA3" s="75"/>
      <c r="AB3" s="75"/>
      <c r="AC3" s="75"/>
      <c r="AD3" s="76"/>
      <c r="AF3" s="76"/>
      <c r="AG3" s="76"/>
      <c r="AH3" s="77" t="s">
        <v>123</v>
      </c>
      <c r="AI3" s="77"/>
      <c r="AJ3" s="77"/>
      <c r="AK3" s="141"/>
    </row>
    <row r="4" spans="2:37" ht="24" customHeight="1" thickBot="1">
      <c r="B4" s="73"/>
      <c r="C4" s="73"/>
      <c r="O4" s="737" t="s">
        <v>122</v>
      </c>
      <c r="V4" s="141"/>
      <c r="W4" s="78" t="s">
        <v>122</v>
      </c>
      <c r="AD4" s="78" t="s">
        <v>122</v>
      </c>
      <c r="AF4" s="79"/>
      <c r="AG4" s="378"/>
      <c r="AH4" s="80"/>
      <c r="AI4" s="81"/>
      <c r="AJ4" s="81"/>
      <c r="AK4" s="141"/>
    </row>
    <row r="5" spans="1:49" ht="21.75" customHeight="1">
      <c r="A5" s="82" t="s">
        <v>138</v>
      </c>
      <c r="B5" s="83" t="s">
        <v>157</v>
      </c>
      <c r="C5" s="84" t="s">
        <v>435</v>
      </c>
      <c r="D5" s="136" t="s">
        <v>120</v>
      </c>
      <c r="E5" s="403" t="s">
        <v>119</v>
      </c>
      <c r="F5" s="855" t="s">
        <v>172</v>
      </c>
      <c r="G5" s="855"/>
      <c r="H5" s="855"/>
      <c r="I5" s="856"/>
      <c r="J5" s="810" t="s">
        <v>119</v>
      </c>
      <c r="K5" s="859" t="s">
        <v>117</v>
      </c>
      <c r="L5" s="859"/>
      <c r="M5" s="859"/>
      <c r="N5" s="859"/>
      <c r="O5" s="738" t="s">
        <v>546</v>
      </c>
      <c r="P5" s="857" t="s">
        <v>117</v>
      </c>
      <c r="Q5" s="857"/>
      <c r="R5" s="857"/>
      <c r="S5" s="858"/>
      <c r="T5" s="735"/>
      <c r="U5" s="779"/>
      <c r="V5" s="767" t="s">
        <v>116</v>
      </c>
      <c r="W5" s="651" t="s">
        <v>543</v>
      </c>
      <c r="X5" s="403" t="s">
        <v>119</v>
      </c>
      <c r="Y5" s="855" t="s">
        <v>720</v>
      </c>
      <c r="Z5" s="855"/>
      <c r="AA5" s="855"/>
      <c r="AB5" s="855"/>
      <c r="AC5" s="404"/>
      <c r="AD5" s="225" t="s">
        <v>542</v>
      </c>
      <c r="AE5" s="852" t="s">
        <v>545</v>
      </c>
      <c r="AF5" s="852"/>
      <c r="AG5" s="852"/>
      <c r="AH5" s="853"/>
      <c r="AI5" s="85" t="s">
        <v>763</v>
      </c>
      <c r="AJ5" s="84"/>
      <c r="AK5" s="86" t="s">
        <v>116</v>
      </c>
      <c r="AM5" s="28" t="s">
        <v>803</v>
      </c>
      <c r="AO5" s="127" t="s">
        <v>140</v>
      </c>
      <c r="AP5" s="127" t="s">
        <v>142</v>
      </c>
      <c r="AQ5" s="127" t="s">
        <v>681</v>
      </c>
      <c r="AR5" s="127" t="s">
        <v>288</v>
      </c>
      <c r="AS5" s="127" t="s">
        <v>778</v>
      </c>
      <c r="AT5" s="127" t="s">
        <v>683</v>
      </c>
      <c r="AU5" s="127"/>
      <c r="AV5" s="127" t="s">
        <v>802</v>
      </c>
      <c r="AW5" s="127" t="s">
        <v>42</v>
      </c>
    </row>
    <row r="6" spans="1:37" ht="21.75" customHeight="1" thickBot="1">
      <c r="A6" s="122"/>
      <c r="B6" s="123"/>
      <c r="C6" s="124"/>
      <c r="D6" s="137"/>
      <c r="E6" s="405" t="s">
        <v>171</v>
      </c>
      <c r="F6" s="406" t="s">
        <v>115</v>
      </c>
      <c r="G6" s="407" t="s">
        <v>114</v>
      </c>
      <c r="H6" s="620" t="s">
        <v>113</v>
      </c>
      <c r="I6" s="640" t="s">
        <v>112</v>
      </c>
      <c r="J6" s="811" t="s">
        <v>544</v>
      </c>
      <c r="K6" s="812" t="s">
        <v>115</v>
      </c>
      <c r="L6" s="813" t="s">
        <v>114</v>
      </c>
      <c r="M6" s="813" t="s">
        <v>113</v>
      </c>
      <c r="N6" s="813" t="s">
        <v>112</v>
      </c>
      <c r="O6" s="814"/>
      <c r="P6" s="740" t="s">
        <v>115</v>
      </c>
      <c r="Q6" s="741" t="s">
        <v>114</v>
      </c>
      <c r="R6" s="741" t="s">
        <v>113</v>
      </c>
      <c r="S6" s="742" t="s">
        <v>112</v>
      </c>
      <c r="T6" s="736" t="s">
        <v>661</v>
      </c>
      <c r="U6" s="780"/>
      <c r="V6" s="768"/>
      <c r="W6" s="652"/>
      <c r="X6" s="405" t="s">
        <v>814</v>
      </c>
      <c r="Y6" s="406" t="s">
        <v>115</v>
      </c>
      <c r="Z6" s="407" t="s">
        <v>114</v>
      </c>
      <c r="AA6" s="407" t="s">
        <v>113</v>
      </c>
      <c r="AB6" s="407" t="s">
        <v>112</v>
      </c>
      <c r="AC6" s="408" t="s">
        <v>661</v>
      </c>
      <c r="AD6" s="228"/>
      <c r="AE6" s="200" t="s">
        <v>115</v>
      </c>
      <c r="AF6" s="201" t="s">
        <v>114</v>
      </c>
      <c r="AG6" s="201" t="s">
        <v>113</v>
      </c>
      <c r="AH6" s="202" t="s">
        <v>112</v>
      </c>
      <c r="AI6" s="125"/>
      <c r="AJ6" s="124"/>
      <c r="AK6" s="87"/>
    </row>
    <row r="7" spans="1:48" s="127" customFormat="1" ht="60" customHeight="1" thickBot="1">
      <c r="A7" s="151" t="s">
        <v>65</v>
      </c>
      <c r="B7" s="148" t="s">
        <v>65</v>
      </c>
      <c r="C7" s="37" t="s">
        <v>66</v>
      </c>
      <c r="D7" s="56" t="s">
        <v>67</v>
      </c>
      <c r="E7" s="174">
        <v>15000</v>
      </c>
      <c r="F7" s="410"/>
      <c r="G7" s="410"/>
      <c r="H7" s="410"/>
      <c r="I7" s="410"/>
      <c r="J7" s="174">
        <v>23000</v>
      </c>
      <c r="K7" s="174"/>
      <c r="L7" s="174"/>
      <c r="M7" s="174"/>
      <c r="N7" s="174"/>
      <c r="O7" s="743">
        <v>-11500</v>
      </c>
      <c r="P7" s="744"/>
      <c r="Q7" s="745"/>
      <c r="R7" s="745"/>
      <c r="S7" s="746">
        <v>-11500</v>
      </c>
      <c r="T7" s="781">
        <f aca="true" t="shared" si="0" ref="T7:T38">O7-P7-Q7-R7-S7</f>
        <v>0</v>
      </c>
      <c r="U7" s="782"/>
      <c r="V7" s="769" t="s">
        <v>608</v>
      </c>
      <c r="W7" s="174">
        <v>-7500</v>
      </c>
      <c r="X7" s="409">
        <v>20000</v>
      </c>
      <c r="Y7" s="410"/>
      <c r="Z7" s="410"/>
      <c r="AA7" s="410"/>
      <c r="AB7" s="410"/>
      <c r="AC7" s="410"/>
      <c r="AD7" s="174">
        <v>-10000</v>
      </c>
      <c r="AE7" s="629"/>
      <c r="AF7" s="163"/>
      <c r="AG7" s="163"/>
      <c r="AH7" s="164">
        <v>-7500</v>
      </c>
      <c r="AI7" s="165"/>
      <c r="AJ7" s="166"/>
      <c r="AK7" s="126" t="s">
        <v>608</v>
      </c>
      <c r="AL7" s="127" t="s">
        <v>421</v>
      </c>
      <c r="AM7" s="128">
        <f aca="true" t="shared" si="1" ref="AM7:AM38">W7-AE7-AF7-AG7-AH7</f>
        <v>0</v>
      </c>
      <c r="AU7" s="210">
        <f aca="true" t="shared" si="2" ref="AU7:AU53">SUM(AO7:AT7)</f>
        <v>0</v>
      </c>
      <c r="AV7" s="207" t="str">
        <f aca="true" t="shared" si="3" ref="AV7:AV38">IF(Q7=AU7,"OK","OUT")</f>
        <v>OK</v>
      </c>
    </row>
    <row r="8" spans="1:48" s="127" customFormat="1" ht="30" customHeight="1" thickBot="1">
      <c r="A8" s="167"/>
      <c r="B8" s="69"/>
      <c r="C8" s="57"/>
      <c r="D8" s="57" t="s">
        <v>403</v>
      </c>
      <c r="E8" s="175">
        <f>SUM(E7)</f>
        <v>15000</v>
      </c>
      <c r="F8" s="412"/>
      <c r="G8" s="412"/>
      <c r="H8" s="412"/>
      <c r="I8" s="412"/>
      <c r="J8" s="175">
        <f>SUM(J7)</f>
        <v>23000</v>
      </c>
      <c r="K8" s="175"/>
      <c r="L8" s="175"/>
      <c r="M8" s="175"/>
      <c r="N8" s="175"/>
      <c r="O8" s="747">
        <f>SUM(O7)</f>
        <v>-11500</v>
      </c>
      <c r="P8" s="748">
        <f>SUM(P7)</f>
        <v>0</v>
      </c>
      <c r="Q8" s="111">
        <f>SUM(Q7)</f>
        <v>0</v>
      </c>
      <c r="R8" s="111">
        <f>SUM(R7)</f>
        <v>0</v>
      </c>
      <c r="S8" s="112">
        <f>SUM(S7)</f>
        <v>-11500</v>
      </c>
      <c r="T8" s="781">
        <f t="shared" si="0"/>
        <v>0</v>
      </c>
      <c r="U8" s="782"/>
      <c r="V8" s="171"/>
      <c r="W8" s="175">
        <f>SUM(W7)</f>
        <v>-7500</v>
      </c>
      <c r="X8" s="411">
        <f>SUM(X7)</f>
        <v>20000</v>
      </c>
      <c r="Y8" s="412"/>
      <c r="Z8" s="412"/>
      <c r="AA8" s="412"/>
      <c r="AB8" s="412"/>
      <c r="AC8" s="412"/>
      <c r="AD8" s="175">
        <f>SUM(AD7)</f>
        <v>-10000</v>
      </c>
      <c r="AE8" s="630">
        <f>SUM(AE7)</f>
        <v>0</v>
      </c>
      <c r="AF8" s="170">
        <f>SUM(AF7)</f>
        <v>0</v>
      </c>
      <c r="AG8" s="170">
        <f>SUM(AG7)</f>
        <v>0</v>
      </c>
      <c r="AH8" s="400">
        <f>SUM(AH7)</f>
        <v>-7500</v>
      </c>
      <c r="AI8" s="172"/>
      <c r="AJ8" s="171"/>
      <c r="AK8" s="171"/>
      <c r="AM8" s="128">
        <f t="shared" si="1"/>
        <v>0</v>
      </c>
      <c r="AO8" s="175">
        <f aca="true" t="shared" si="4" ref="AO8:AT8">SUM(AO7)</f>
        <v>0</v>
      </c>
      <c r="AP8" s="175">
        <f t="shared" si="4"/>
        <v>0</v>
      </c>
      <c r="AQ8" s="175">
        <f t="shared" si="4"/>
        <v>0</v>
      </c>
      <c r="AR8" s="175">
        <f t="shared" si="4"/>
        <v>0</v>
      </c>
      <c r="AS8" s="175">
        <f t="shared" si="4"/>
        <v>0</v>
      </c>
      <c r="AT8" s="175">
        <f t="shared" si="4"/>
        <v>0</v>
      </c>
      <c r="AU8" s="210">
        <f t="shared" si="2"/>
        <v>0</v>
      </c>
      <c r="AV8" s="207" t="str">
        <f t="shared" si="3"/>
        <v>OK</v>
      </c>
    </row>
    <row r="9" spans="1:48" ht="45" customHeight="1">
      <c r="A9" s="819" t="s">
        <v>11</v>
      </c>
      <c r="B9" s="158" t="s">
        <v>717</v>
      </c>
      <c r="C9" s="50" t="s">
        <v>718</v>
      </c>
      <c r="D9" s="50"/>
      <c r="E9" s="33">
        <v>677094</v>
      </c>
      <c r="F9" s="414"/>
      <c r="G9" s="414">
        <v>122363</v>
      </c>
      <c r="H9" s="414"/>
      <c r="I9" s="414">
        <v>554731</v>
      </c>
      <c r="J9" s="33">
        <v>641079</v>
      </c>
      <c r="K9" s="33"/>
      <c r="L9" s="33">
        <v>96283</v>
      </c>
      <c r="M9" s="33"/>
      <c r="N9" s="33">
        <v>544796</v>
      </c>
      <c r="O9" s="33">
        <v>-128216</v>
      </c>
      <c r="P9" s="34"/>
      <c r="Q9" s="35">
        <v>-19257</v>
      </c>
      <c r="R9" s="35"/>
      <c r="S9" s="155">
        <v>-108959</v>
      </c>
      <c r="T9" s="781">
        <f t="shared" si="0"/>
        <v>0</v>
      </c>
      <c r="U9" s="782"/>
      <c r="V9" s="770" t="s">
        <v>729</v>
      </c>
      <c r="W9" s="33">
        <v>-135419</v>
      </c>
      <c r="X9" s="413">
        <v>705223</v>
      </c>
      <c r="Y9" s="414"/>
      <c r="Z9" s="414">
        <v>122086</v>
      </c>
      <c r="AA9" s="414"/>
      <c r="AB9" s="414">
        <v>583137</v>
      </c>
      <c r="AC9" s="414"/>
      <c r="AD9" s="33">
        <v>-141044</v>
      </c>
      <c r="AE9" s="34"/>
      <c r="AF9" s="35">
        <v>-24473</v>
      </c>
      <c r="AG9" s="35"/>
      <c r="AH9" s="155">
        <v>-110946</v>
      </c>
      <c r="AI9" s="118"/>
      <c r="AJ9" s="155"/>
      <c r="AK9" s="142" t="s">
        <v>729</v>
      </c>
      <c r="AL9" s="66" t="s">
        <v>421</v>
      </c>
      <c r="AM9" s="128">
        <f t="shared" si="1"/>
        <v>0</v>
      </c>
      <c r="AT9" s="35">
        <v>-19257</v>
      </c>
      <c r="AU9" s="210">
        <f t="shared" si="2"/>
        <v>-19257</v>
      </c>
      <c r="AV9" s="207" t="str">
        <f t="shared" si="3"/>
        <v>OK</v>
      </c>
    </row>
    <row r="10" spans="1:48" ht="70.5" customHeight="1">
      <c r="A10" s="820"/>
      <c r="B10" s="94" t="s">
        <v>159</v>
      </c>
      <c r="C10" s="51" t="s">
        <v>693</v>
      </c>
      <c r="D10" s="50" t="s">
        <v>694</v>
      </c>
      <c r="E10" s="33">
        <v>1505038</v>
      </c>
      <c r="F10" s="414"/>
      <c r="G10" s="414">
        <v>6255</v>
      </c>
      <c r="H10" s="414"/>
      <c r="I10" s="414">
        <v>1498783</v>
      </c>
      <c r="J10" s="33">
        <v>2593064</v>
      </c>
      <c r="K10" s="33"/>
      <c r="L10" s="33">
        <v>7064</v>
      </c>
      <c r="M10" s="33"/>
      <c r="N10" s="33">
        <v>2586000</v>
      </c>
      <c r="O10" s="33">
        <v>-745065</v>
      </c>
      <c r="P10" s="34"/>
      <c r="Q10" s="35"/>
      <c r="R10" s="35"/>
      <c r="S10" s="27">
        <v>-745065</v>
      </c>
      <c r="T10" s="781">
        <f t="shared" si="0"/>
        <v>0</v>
      </c>
      <c r="U10" s="782"/>
      <c r="V10" s="770" t="s">
        <v>549</v>
      </c>
      <c r="W10" s="33">
        <v>-1098030</v>
      </c>
      <c r="X10" s="413">
        <v>1754628</v>
      </c>
      <c r="Y10" s="414"/>
      <c r="Z10" s="414">
        <v>12628</v>
      </c>
      <c r="AA10" s="414"/>
      <c r="AB10" s="414">
        <v>1742000</v>
      </c>
      <c r="AC10" s="414"/>
      <c r="AD10" s="33">
        <v>-877314</v>
      </c>
      <c r="AE10" s="34"/>
      <c r="AF10" s="35"/>
      <c r="AG10" s="35"/>
      <c r="AH10" s="27">
        <v>-1098030</v>
      </c>
      <c r="AI10" s="118"/>
      <c r="AJ10" s="155"/>
      <c r="AK10" s="142" t="s">
        <v>173</v>
      </c>
      <c r="AL10" s="66" t="s">
        <v>421</v>
      </c>
      <c r="AM10" s="128">
        <f t="shared" si="1"/>
        <v>0</v>
      </c>
      <c r="AU10" s="210">
        <f t="shared" si="2"/>
        <v>0</v>
      </c>
      <c r="AV10" s="207" t="str">
        <f t="shared" si="3"/>
        <v>OK</v>
      </c>
    </row>
    <row r="11" spans="1:48" ht="31.5" customHeight="1">
      <c r="A11" s="434"/>
      <c r="B11" s="90" t="s">
        <v>100</v>
      </c>
      <c r="C11" s="51" t="s">
        <v>99</v>
      </c>
      <c r="D11" s="50" t="s">
        <v>860</v>
      </c>
      <c r="E11" s="33">
        <v>44246</v>
      </c>
      <c r="F11" s="414"/>
      <c r="G11" s="414"/>
      <c r="H11" s="414"/>
      <c r="I11" s="414">
        <v>44246</v>
      </c>
      <c r="J11" s="33">
        <v>30000</v>
      </c>
      <c r="K11" s="33"/>
      <c r="L11" s="33"/>
      <c r="M11" s="33"/>
      <c r="N11" s="33"/>
      <c r="O11" s="33">
        <v>-30000</v>
      </c>
      <c r="P11" s="34"/>
      <c r="Q11" s="35"/>
      <c r="R11" s="35"/>
      <c r="S11" s="27">
        <v>-30000</v>
      </c>
      <c r="T11" s="781">
        <f t="shared" si="0"/>
        <v>0</v>
      </c>
      <c r="U11" s="782"/>
      <c r="V11" s="770" t="s">
        <v>731</v>
      </c>
      <c r="W11" s="33">
        <v>-44246</v>
      </c>
      <c r="X11" s="413">
        <v>44246</v>
      </c>
      <c r="Y11" s="414"/>
      <c r="Z11" s="414"/>
      <c r="AA11" s="414"/>
      <c r="AB11" s="414"/>
      <c r="AC11" s="414"/>
      <c r="AD11" s="33">
        <v>-44246</v>
      </c>
      <c r="AE11" s="34"/>
      <c r="AF11" s="35"/>
      <c r="AG11" s="35"/>
      <c r="AH11" s="27">
        <v>-44246</v>
      </c>
      <c r="AI11" s="154" t="s">
        <v>731</v>
      </c>
      <c r="AJ11" s="155"/>
      <c r="AK11" s="142" t="s">
        <v>731</v>
      </c>
      <c r="AL11" s="66" t="s">
        <v>421</v>
      </c>
      <c r="AM11" s="128">
        <f t="shared" si="1"/>
        <v>0</v>
      </c>
      <c r="AU11" s="210">
        <f t="shared" si="2"/>
        <v>0</v>
      </c>
      <c r="AV11" s="207" t="str">
        <f t="shared" si="3"/>
        <v>OK</v>
      </c>
    </row>
    <row r="12" spans="1:49" ht="43.5" customHeight="1">
      <c r="A12" s="89"/>
      <c r="B12" s="91"/>
      <c r="C12" s="56"/>
      <c r="D12" s="50" t="s">
        <v>111</v>
      </c>
      <c r="E12" s="33">
        <v>63983</v>
      </c>
      <c r="F12" s="414"/>
      <c r="G12" s="414">
        <v>8787</v>
      </c>
      <c r="H12" s="414"/>
      <c r="I12" s="414">
        <f>E12-G12</f>
        <v>55196</v>
      </c>
      <c r="J12" s="33">
        <v>63414</v>
      </c>
      <c r="K12" s="33"/>
      <c r="L12" s="33"/>
      <c r="M12" s="33"/>
      <c r="N12" s="33"/>
      <c r="O12" s="33">
        <v>-63414</v>
      </c>
      <c r="P12" s="34"/>
      <c r="Q12" s="35">
        <v>-9009</v>
      </c>
      <c r="R12" s="35"/>
      <c r="S12" s="27">
        <v>-54405</v>
      </c>
      <c r="T12" s="781">
        <f t="shared" si="0"/>
        <v>0</v>
      </c>
      <c r="U12" s="782"/>
      <c r="V12" s="770" t="s">
        <v>755</v>
      </c>
      <c r="W12" s="33">
        <v>-63983</v>
      </c>
      <c r="X12" s="413">
        <v>65239</v>
      </c>
      <c r="Y12" s="414"/>
      <c r="Z12" s="414"/>
      <c r="AA12" s="414"/>
      <c r="AB12" s="414"/>
      <c r="AC12" s="414"/>
      <c r="AD12" s="33">
        <v>-65239</v>
      </c>
      <c r="AE12" s="34"/>
      <c r="AF12" s="35">
        <v>-8787</v>
      </c>
      <c r="AG12" s="35"/>
      <c r="AH12" s="27">
        <v>-55196</v>
      </c>
      <c r="AI12" s="154" t="s">
        <v>69</v>
      </c>
      <c r="AJ12" s="155"/>
      <c r="AK12" s="142" t="s">
        <v>755</v>
      </c>
      <c r="AL12" s="66" t="s">
        <v>421</v>
      </c>
      <c r="AM12" s="128">
        <f t="shared" si="1"/>
        <v>0</v>
      </c>
      <c r="AT12" s="35">
        <v>-9009</v>
      </c>
      <c r="AU12" s="210">
        <f t="shared" si="2"/>
        <v>-9009</v>
      </c>
      <c r="AV12" s="207" t="str">
        <f t="shared" si="3"/>
        <v>OK</v>
      </c>
      <c r="AW12" s="35">
        <v>-9009</v>
      </c>
    </row>
    <row r="13" spans="1:48" ht="39.75" customHeight="1">
      <c r="A13" s="89"/>
      <c r="B13" s="91"/>
      <c r="C13" s="56"/>
      <c r="D13" s="50" t="s">
        <v>418</v>
      </c>
      <c r="E13" s="33">
        <v>123595</v>
      </c>
      <c r="F13" s="414"/>
      <c r="G13" s="414"/>
      <c r="H13" s="414"/>
      <c r="I13" s="414">
        <v>123595</v>
      </c>
      <c r="J13" s="33">
        <v>115463</v>
      </c>
      <c r="K13" s="33"/>
      <c r="L13" s="33"/>
      <c r="M13" s="33"/>
      <c r="N13" s="33"/>
      <c r="O13" s="33">
        <v>-115463</v>
      </c>
      <c r="P13" s="34"/>
      <c r="Q13" s="35"/>
      <c r="R13" s="35"/>
      <c r="S13" s="27">
        <v>-115463</v>
      </c>
      <c r="T13" s="781">
        <f t="shared" si="0"/>
        <v>0</v>
      </c>
      <c r="U13" s="782"/>
      <c r="V13" s="770" t="s">
        <v>692</v>
      </c>
      <c r="W13" s="33">
        <v>-123595</v>
      </c>
      <c r="X13" s="413">
        <v>124534</v>
      </c>
      <c r="Y13" s="414"/>
      <c r="Z13" s="414"/>
      <c r="AA13" s="414"/>
      <c r="AB13" s="414"/>
      <c r="AC13" s="414"/>
      <c r="AD13" s="33">
        <v>-124534</v>
      </c>
      <c r="AE13" s="34"/>
      <c r="AF13" s="35"/>
      <c r="AG13" s="35"/>
      <c r="AH13" s="27">
        <v>-123595</v>
      </c>
      <c r="AI13" s="154" t="s">
        <v>692</v>
      </c>
      <c r="AJ13" s="155"/>
      <c r="AK13" s="142" t="s">
        <v>692</v>
      </c>
      <c r="AL13" s="66" t="s">
        <v>421</v>
      </c>
      <c r="AM13" s="128">
        <f t="shared" si="1"/>
        <v>0</v>
      </c>
      <c r="AT13" s="62"/>
      <c r="AU13" s="210">
        <f t="shared" si="2"/>
        <v>0</v>
      </c>
      <c r="AV13" s="207" t="str">
        <f t="shared" si="3"/>
        <v>OK</v>
      </c>
    </row>
    <row r="14" spans="1:48" ht="45" customHeight="1">
      <c r="A14" s="89"/>
      <c r="B14" s="91"/>
      <c r="C14" s="56"/>
      <c r="D14" s="50" t="s">
        <v>861</v>
      </c>
      <c r="E14" s="33">
        <v>61458</v>
      </c>
      <c r="F14" s="414"/>
      <c r="G14" s="414"/>
      <c r="H14" s="414"/>
      <c r="I14" s="414">
        <v>61458</v>
      </c>
      <c r="J14" s="722">
        <v>60316</v>
      </c>
      <c r="K14" s="33"/>
      <c r="L14" s="33"/>
      <c r="M14" s="33"/>
      <c r="N14" s="33"/>
      <c r="O14" s="33">
        <v>-60316</v>
      </c>
      <c r="P14" s="34"/>
      <c r="Q14" s="35"/>
      <c r="R14" s="35"/>
      <c r="S14" s="27">
        <v>-60316</v>
      </c>
      <c r="T14" s="781">
        <f t="shared" si="0"/>
        <v>0</v>
      </c>
      <c r="U14" s="782"/>
      <c r="V14" s="770" t="s">
        <v>692</v>
      </c>
      <c r="W14" s="33">
        <v>-61458</v>
      </c>
      <c r="X14" s="413">
        <v>62073</v>
      </c>
      <c r="Y14" s="414"/>
      <c r="Z14" s="414"/>
      <c r="AA14" s="414"/>
      <c r="AB14" s="414"/>
      <c r="AC14" s="414"/>
      <c r="AD14" s="33">
        <v>-62073</v>
      </c>
      <c r="AE14" s="34"/>
      <c r="AF14" s="35"/>
      <c r="AG14" s="35"/>
      <c r="AH14" s="27">
        <v>-61458</v>
      </c>
      <c r="AI14" s="154" t="s">
        <v>692</v>
      </c>
      <c r="AJ14" s="155"/>
      <c r="AK14" s="142" t="s">
        <v>692</v>
      </c>
      <c r="AL14" s="66" t="s">
        <v>421</v>
      </c>
      <c r="AM14" s="128">
        <f t="shared" si="1"/>
        <v>0</v>
      </c>
      <c r="AU14" s="210">
        <f t="shared" si="2"/>
        <v>0</v>
      </c>
      <c r="AV14" s="207" t="str">
        <f t="shared" si="3"/>
        <v>OK</v>
      </c>
    </row>
    <row r="15" spans="1:48" ht="31.5" customHeight="1">
      <c r="A15" s="89"/>
      <c r="B15" s="92"/>
      <c r="C15" s="50"/>
      <c r="D15" s="50" t="s">
        <v>730</v>
      </c>
      <c r="E15" s="33">
        <v>352256</v>
      </c>
      <c r="F15" s="414"/>
      <c r="G15" s="414"/>
      <c r="H15" s="414"/>
      <c r="I15" s="414">
        <v>352256</v>
      </c>
      <c r="J15" s="33">
        <v>435841</v>
      </c>
      <c r="K15" s="33"/>
      <c r="L15" s="33"/>
      <c r="M15" s="33"/>
      <c r="N15" s="33"/>
      <c r="O15" s="33">
        <v>-435841</v>
      </c>
      <c r="P15" s="34"/>
      <c r="Q15" s="35"/>
      <c r="R15" s="35"/>
      <c r="S15" s="27">
        <v>-435841</v>
      </c>
      <c r="T15" s="781">
        <f t="shared" si="0"/>
        <v>0</v>
      </c>
      <c r="U15" s="782"/>
      <c r="V15" s="770" t="s">
        <v>692</v>
      </c>
      <c r="W15" s="33">
        <v>-352256</v>
      </c>
      <c r="X15" s="413">
        <v>356121</v>
      </c>
      <c r="Y15" s="414"/>
      <c r="Z15" s="414"/>
      <c r="AA15" s="414"/>
      <c r="AB15" s="414"/>
      <c r="AC15" s="414"/>
      <c r="AD15" s="33">
        <v>-356121</v>
      </c>
      <c r="AE15" s="34"/>
      <c r="AF15" s="35"/>
      <c r="AG15" s="35"/>
      <c r="AH15" s="27">
        <v>-352256</v>
      </c>
      <c r="AI15" s="154" t="s">
        <v>692</v>
      </c>
      <c r="AJ15" s="155"/>
      <c r="AK15" s="142" t="s">
        <v>692</v>
      </c>
      <c r="AL15" s="66" t="s">
        <v>421</v>
      </c>
      <c r="AM15" s="128">
        <f t="shared" si="1"/>
        <v>0</v>
      </c>
      <c r="AU15" s="210">
        <f t="shared" si="2"/>
        <v>0</v>
      </c>
      <c r="AV15" s="207" t="str">
        <f t="shared" si="3"/>
        <v>OK</v>
      </c>
    </row>
    <row r="16" spans="1:49" ht="46.5" customHeight="1">
      <c r="A16" s="89"/>
      <c r="B16" s="93" t="s">
        <v>110</v>
      </c>
      <c r="C16" s="50" t="s">
        <v>109</v>
      </c>
      <c r="D16" s="50" t="s">
        <v>695</v>
      </c>
      <c r="E16" s="33">
        <v>673000</v>
      </c>
      <c r="F16" s="414"/>
      <c r="G16" s="414">
        <v>673000</v>
      </c>
      <c r="H16" s="414"/>
      <c r="I16" s="414"/>
      <c r="J16" s="33">
        <v>533000</v>
      </c>
      <c r="K16" s="33"/>
      <c r="L16" s="33"/>
      <c r="M16" s="33"/>
      <c r="N16" s="33"/>
      <c r="O16" s="33">
        <v>-533000</v>
      </c>
      <c r="P16" s="34"/>
      <c r="Q16" s="35">
        <v>-533000</v>
      </c>
      <c r="R16" s="35"/>
      <c r="S16" s="27"/>
      <c r="T16" s="781">
        <f t="shared" si="0"/>
        <v>0</v>
      </c>
      <c r="U16" s="782"/>
      <c r="V16" s="770" t="s">
        <v>756</v>
      </c>
      <c r="W16" s="33">
        <v>-673000</v>
      </c>
      <c r="X16" s="413">
        <v>1041000</v>
      </c>
      <c r="Y16" s="414"/>
      <c r="Z16" s="414"/>
      <c r="AA16" s="414"/>
      <c r="AB16" s="414"/>
      <c r="AC16" s="414"/>
      <c r="AD16" s="33">
        <v>-1041000</v>
      </c>
      <c r="AE16" s="34"/>
      <c r="AF16" s="35">
        <v>-673000</v>
      </c>
      <c r="AG16" s="35"/>
      <c r="AH16" s="27"/>
      <c r="AI16" s="154" t="s">
        <v>68</v>
      </c>
      <c r="AJ16" s="155"/>
      <c r="AK16" s="142" t="s">
        <v>756</v>
      </c>
      <c r="AL16" s="66" t="s">
        <v>421</v>
      </c>
      <c r="AM16" s="128">
        <f t="shared" si="1"/>
        <v>0</v>
      </c>
      <c r="AT16" s="35">
        <v>-533000</v>
      </c>
      <c r="AU16" s="210">
        <f t="shared" si="2"/>
        <v>-533000</v>
      </c>
      <c r="AV16" s="207" t="str">
        <f t="shared" si="3"/>
        <v>OK</v>
      </c>
      <c r="AW16" s="35">
        <v>-533000</v>
      </c>
    </row>
    <row r="17" spans="1:48" ht="45.75" customHeight="1">
      <c r="A17" s="89"/>
      <c r="B17" s="90" t="s">
        <v>108</v>
      </c>
      <c r="C17" s="38" t="s">
        <v>107</v>
      </c>
      <c r="D17" s="50" t="s">
        <v>105</v>
      </c>
      <c r="E17" s="33">
        <v>208776</v>
      </c>
      <c r="F17" s="414"/>
      <c r="G17" s="414">
        <v>43850</v>
      </c>
      <c r="H17" s="414"/>
      <c r="I17" s="414">
        <f>E17-G17</f>
        <v>164926</v>
      </c>
      <c r="J17" s="33">
        <v>188449</v>
      </c>
      <c r="K17" s="33"/>
      <c r="L17" s="33"/>
      <c r="M17" s="33"/>
      <c r="N17" s="33"/>
      <c r="O17" s="33">
        <v>-94225</v>
      </c>
      <c r="P17" s="34"/>
      <c r="Q17" s="35">
        <v>-21858</v>
      </c>
      <c r="R17" s="35"/>
      <c r="S17" s="155">
        <v>-72367</v>
      </c>
      <c r="T17" s="781">
        <f t="shared" si="0"/>
        <v>0</v>
      </c>
      <c r="U17" s="782"/>
      <c r="V17" s="770" t="s">
        <v>809</v>
      </c>
      <c r="W17" s="33">
        <v>-104388</v>
      </c>
      <c r="X17" s="413">
        <v>221961</v>
      </c>
      <c r="Y17" s="414"/>
      <c r="Z17" s="414">
        <v>44139</v>
      </c>
      <c r="AA17" s="414"/>
      <c r="AB17" s="414">
        <v>177822</v>
      </c>
      <c r="AC17" s="414"/>
      <c r="AD17" s="33">
        <v>-110981</v>
      </c>
      <c r="AE17" s="34"/>
      <c r="AF17" s="35">
        <v>-21925</v>
      </c>
      <c r="AG17" s="35"/>
      <c r="AH17" s="155">
        <v>-82463</v>
      </c>
      <c r="AI17" s="118"/>
      <c r="AJ17" s="155"/>
      <c r="AK17" s="142" t="s">
        <v>809</v>
      </c>
      <c r="AL17" s="66" t="s">
        <v>421</v>
      </c>
      <c r="AM17" s="128">
        <f t="shared" si="1"/>
        <v>0</v>
      </c>
      <c r="AS17" s="35">
        <v>-21858</v>
      </c>
      <c r="AU17" s="210">
        <f t="shared" si="2"/>
        <v>-21858</v>
      </c>
      <c r="AV17" s="207" t="str">
        <f t="shared" si="3"/>
        <v>OK</v>
      </c>
    </row>
    <row r="18" spans="1:48" ht="31.5" customHeight="1">
      <c r="A18" s="89"/>
      <c r="B18" s="93" t="s">
        <v>104</v>
      </c>
      <c r="C18" s="50" t="s">
        <v>101</v>
      </c>
      <c r="D18" s="50"/>
      <c r="E18" s="33">
        <v>1050</v>
      </c>
      <c r="F18" s="414">
        <v>1050</v>
      </c>
      <c r="G18" s="414"/>
      <c r="H18" s="414"/>
      <c r="I18" s="414"/>
      <c r="J18" s="33">
        <v>1034</v>
      </c>
      <c r="K18" s="33"/>
      <c r="L18" s="33"/>
      <c r="M18" s="33"/>
      <c r="N18" s="33"/>
      <c r="O18" s="33">
        <v>-1034</v>
      </c>
      <c r="P18" s="34">
        <v>-1034</v>
      </c>
      <c r="Q18" s="35"/>
      <c r="R18" s="35"/>
      <c r="S18" s="27"/>
      <c r="T18" s="781">
        <f t="shared" si="0"/>
        <v>0</v>
      </c>
      <c r="U18" s="782"/>
      <c r="V18" s="770"/>
      <c r="W18" s="33">
        <v>-1050</v>
      </c>
      <c r="X18" s="413">
        <v>1223</v>
      </c>
      <c r="Y18" s="414"/>
      <c r="Z18" s="414"/>
      <c r="AA18" s="414"/>
      <c r="AB18" s="414"/>
      <c r="AC18" s="414"/>
      <c r="AD18" s="33">
        <v>-1223</v>
      </c>
      <c r="AE18" s="34">
        <v>-1050</v>
      </c>
      <c r="AF18" s="35"/>
      <c r="AG18" s="35"/>
      <c r="AH18" s="27"/>
      <c r="AI18" s="118"/>
      <c r="AJ18" s="155"/>
      <c r="AK18" s="142"/>
      <c r="AL18" s="66" t="s">
        <v>421</v>
      </c>
      <c r="AM18" s="128">
        <f t="shared" si="1"/>
        <v>0</v>
      </c>
      <c r="AU18" s="210">
        <f t="shared" si="2"/>
        <v>0</v>
      </c>
      <c r="AV18" s="207" t="str">
        <f t="shared" si="3"/>
        <v>OK</v>
      </c>
    </row>
    <row r="19" spans="1:48" ht="56.25" customHeight="1">
      <c r="A19" s="89"/>
      <c r="B19" s="90" t="s">
        <v>388</v>
      </c>
      <c r="C19" s="56" t="s">
        <v>8</v>
      </c>
      <c r="D19" s="50" t="s">
        <v>9</v>
      </c>
      <c r="E19" s="33">
        <v>4517502</v>
      </c>
      <c r="F19" s="414"/>
      <c r="G19" s="414"/>
      <c r="H19" s="414"/>
      <c r="I19" s="414">
        <v>4517502</v>
      </c>
      <c r="J19" s="33">
        <v>3964869</v>
      </c>
      <c r="K19" s="33"/>
      <c r="L19" s="33"/>
      <c r="M19" s="33"/>
      <c r="N19" s="33"/>
      <c r="O19" s="33">
        <v>-6000</v>
      </c>
      <c r="P19" s="34"/>
      <c r="Q19" s="35"/>
      <c r="R19" s="35"/>
      <c r="S19" s="27">
        <v>-6000</v>
      </c>
      <c r="T19" s="781">
        <f t="shared" si="0"/>
        <v>0</v>
      </c>
      <c r="U19" s="782"/>
      <c r="V19" s="770" t="s">
        <v>93</v>
      </c>
      <c r="W19" s="33">
        <v>-6000</v>
      </c>
      <c r="X19" s="413">
        <v>5380741</v>
      </c>
      <c r="Y19" s="414"/>
      <c r="Z19" s="414"/>
      <c r="AA19" s="414"/>
      <c r="AB19" s="414"/>
      <c r="AC19" s="414"/>
      <c r="AD19" s="33">
        <v>-6000</v>
      </c>
      <c r="AE19" s="34"/>
      <c r="AF19" s="35"/>
      <c r="AG19" s="35"/>
      <c r="AH19" s="27">
        <v>-6000</v>
      </c>
      <c r="AI19" s="118"/>
      <c r="AJ19" s="155"/>
      <c r="AK19" s="142" t="s">
        <v>176</v>
      </c>
      <c r="AL19" s="66" t="s">
        <v>421</v>
      </c>
      <c r="AM19" s="128">
        <f t="shared" si="1"/>
        <v>0</v>
      </c>
      <c r="AU19" s="210">
        <f t="shared" si="2"/>
        <v>0</v>
      </c>
      <c r="AV19" s="207" t="str">
        <f t="shared" si="3"/>
        <v>OK</v>
      </c>
    </row>
    <row r="20" spans="1:48" ht="34.5" customHeight="1">
      <c r="A20" s="89"/>
      <c r="B20" s="91"/>
      <c r="C20" s="51" t="s">
        <v>389</v>
      </c>
      <c r="D20" s="38" t="s">
        <v>390</v>
      </c>
      <c r="E20" s="33">
        <v>3000</v>
      </c>
      <c r="F20" s="414"/>
      <c r="G20" s="414"/>
      <c r="H20" s="414"/>
      <c r="I20" s="414">
        <v>3000</v>
      </c>
      <c r="J20" s="33">
        <v>2622</v>
      </c>
      <c r="K20" s="33"/>
      <c r="L20" s="33"/>
      <c r="M20" s="33"/>
      <c r="N20" s="33"/>
      <c r="O20" s="33">
        <v>-2622</v>
      </c>
      <c r="P20" s="34"/>
      <c r="Q20" s="35"/>
      <c r="R20" s="35"/>
      <c r="S20" s="27">
        <v>-2622</v>
      </c>
      <c r="T20" s="781">
        <f t="shared" si="0"/>
        <v>0</v>
      </c>
      <c r="U20" s="782"/>
      <c r="V20" s="770"/>
      <c r="W20" s="33">
        <v>-3000</v>
      </c>
      <c r="X20" s="413">
        <v>2975</v>
      </c>
      <c r="Y20" s="414"/>
      <c r="Z20" s="414"/>
      <c r="AA20" s="414"/>
      <c r="AB20" s="414"/>
      <c r="AC20" s="414"/>
      <c r="AD20" s="33">
        <v>-2975</v>
      </c>
      <c r="AE20" s="34"/>
      <c r="AF20" s="35"/>
      <c r="AG20" s="35"/>
      <c r="AH20" s="27">
        <v>-3000</v>
      </c>
      <c r="AI20" s="118"/>
      <c r="AJ20" s="155"/>
      <c r="AK20" s="142"/>
      <c r="AL20" s="66" t="s">
        <v>421</v>
      </c>
      <c r="AM20" s="128">
        <f t="shared" si="1"/>
        <v>0</v>
      </c>
      <c r="AU20" s="210">
        <f t="shared" si="2"/>
        <v>0</v>
      </c>
      <c r="AV20" s="207" t="str">
        <f t="shared" si="3"/>
        <v>OK</v>
      </c>
    </row>
    <row r="21" spans="1:48" ht="31.5" customHeight="1">
      <c r="A21" s="89"/>
      <c r="B21" s="90" t="s">
        <v>70</v>
      </c>
      <c r="C21" s="51" t="s">
        <v>71</v>
      </c>
      <c r="D21" s="38" t="s">
        <v>550</v>
      </c>
      <c r="E21" s="33">
        <v>3592</v>
      </c>
      <c r="F21" s="414"/>
      <c r="G21" s="414"/>
      <c r="H21" s="414"/>
      <c r="I21" s="414">
        <v>3592</v>
      </c>
      <c r="J21" s="33">
        <v>115922</v>
      </c>
      <c r="K21" s="33"/>
      <c r="L21" s="33"/>
      <c r="M21" s="33"/>
      <c r="N21" s="33"/>
      <c r="O21" s="33">
        <v>-115922</v>
      </c>
      <c r="P21" s="34"/>
      <c r="Q21" s="35"/>
      <c r="R21" s="35"/>
      <c r="S21" s="27">
        <v>-115922</v>
      </c>
      <c r="T21" s="781">
        <f t="shared" si="0"/>
        <v>0</v>
      </c>
      <c r="U21" s="782"/>
      <c r="V21" s="218" t="s">
        <v>238</v>
      </c>
      <c r="W21" s="33">
        <v>-3592</v>
      </c>
      <c r="X21" s="413">
        <v>3592</v>
      </c>
      <c r="Y21" s="414"/>
      <c r="Z21" s="414"/>
      <c r="AA21" s="414"/>
      <c r="AB21" s="414"/>
      <c r="AC21" s="414"/>
      <c r="AD21" s="33">
        <v>-3592</v>
      </c>
      <c r="AE21" s="34"/>
      <c r="AF21" s="35"/>
      <c r="AG21" s="35"/>
      <c r="AH21" s="27">
        <v>-3592</v>
      </c>
      <c r="AI21" s="154"/>
      <c r="AJ21" s="155"/>
      <c r="AK21" s="38" t="s">
        <v>238</v>
      </c>
      <c r="AL21" s="66" t="s">
        <v>421</v>
      </c>
      <c r="AM21" s="128">
        <f t="shared" si="1"/>
        <v>0</v>
      </c>
      <c r="AT21" s="76"/>
      <c r="AU21" s="210">
        <f t="shared" si="2"/>
        <v>0</v>
      </c>
      <c r="AV21" s="207" t="str">
        <f t="shared" si="3"/>
        <v>OK</v>
      </c>
    </row>
    <row r="22" spans="1:48" ht="56.25" customHeight="1">
      <c r="A22" s="89"/>
      <c r="B22" s="91"/>
      <c r="C22" s="38" t="s">
        <v>732</v>
      </c>
      <c r="D22" s="38" t="s">
        <v>551</v>
      </c>
      <c r="E22" s="33">
        <v>620719</v>
      </c>
      <c r="F22" s="414"/>
      <c r="G22" s="414"/>
      <c r="H22" s="414"/>
      <c r="I22" s="414">
        <v>620719</v>
      </c>
      <c r="J22" s="33">
        <v>635719</v>
      </c>
      <c r="K22" s="33"/>
      <c r="L22" s="33"/>
      <c r="M22" s="33"/>
      <c r="N22" s="33"/>
      <c r="O22" s="33">
        <v>-317860</v>
      </c>
      <c r="P22" s="34"/>
      <c r="Q22" s="35"/>
      <c r="R22" s="35"/>
      <c r="S22" s="27">
        <v>-317860</v>
      </c>
      <c r="T22" s="781">
        <f t="shared" si="0"/>
        <v>0</v>
      </c>
      <c r="U22" s="782"/>
      <c r="V22" s="771" t="s">
        <v>381</v>
      </c>
      <c r="W22" s="33">
        <v>-310359</v>
      </c>
      <c r="X22" s="413">
        <v>620597</v>
      </c>
      <c r="Y22" s="414"/>
      <c r="Z22" s="414"/>
      <c r="AA22" s="414"/>
      <c r="AB22" s="414"/>
      <c r="AC22" s="414"/>
      <c r="AD22" s="33">
        <v>-310298</v>
      </c>
      <c r="AE22" s="34"/>
      <c r="AF22" s="35"/>
      <c r="AG22" s="35"/>
      <c r="AH22" s="27">
        <v>-310359</v>
      </c>
      <c r="AI22" s="118"/>
      <c r="AJ22" s="155"/>
      <c r="AK22" s="129" t="s">
        <v>381</v>
      </c>
      <c r="AL22" s="66" t="s">
        <v>421</v>
      </c>
      <c r="AM22" s="128">
        <f t="shared" si="1"/>
        <v>0</v>
      </c>
      <c r="AU22" s="210">
        <f t="shared" si="2"/>
        <v>0</v>
      </c>
      <c r="AV22" s="207" t="str">
        <f t="shared" si="3"/>
        <v>OK</v>
      </c>
    </row>
    <row r="23" spans="1:48" ht="36" customHeight="1">
      <c r="A23" s="89"/>
      <c r="B23" s="92"/>
      <c r="C23" s="50" t="s">
        <v>736</v>
      </c>
      <c r="D23" s="50" t="s">
        <v>737</v>
      </c>
      <c r="E23" s="33">
        <v>115291</v>
      </c>
      <c r="F23" s="414">
        <v>51880</v>
      </c>
      <c r="G23" s="414"/>
      <c r="H23" s="414"/>
      <c r="I23" s="414">
        <f>E23-F23</f>
        <v>63411</v>
      </c>
      <c r="J23" s="33">
        <v>89187</v>
      </c>
      <c r="K23" s="33"/>
      <c r="L23" s="33"/>
      <c r="M23" s="33"/>
      <c r="N23" s="33"/>
      <c r="O23" s="33">
        <v>-44594</v>
      </c>
      <c r="P23" s="34">
        <v>-22296</v>
      </c>
      <c r="Q23" s="35"/>
      <c r="R23" s="35"/>
      <c r="S23" s="27">
        <v>-22298</v>
      </c>
      <c r="T23" s="781">
        <f t="shared" si="0"/>
        <v>0</v>
      </c>
      <c r="U23" s="782"/>
      <c r="V23" s="770" t="s">
        <v>386</v>
      </c>
      <c r="W23" s="33">
        <v>-57645</v>
      </c>
      <c r="X23" s="413">
        <v>66796</v>
      </c>
      <c r="Y23" s="414"/>
      <c r="Z23" s="414"/>
      <c r="AA23" s="414"/>
      <c r="AB23" s="414"/>
      <c r="AC23" s="414"/>
      <c r="AD23" s="33">
        <v>-34000</v>
      </c>
      <c r="AE23" s="34">
        <v>-25940</v>
      </c>
      <c r="AF23" s="725"/>
      <c r="AG23" s="35"/>
      <c r="AH23" s="27">
        <v>-31705</v>
      </c>
      <c r="AI23" s="118"/>
      <c r="AJ23" s="155"/>
      <c r="AK23" s="142" t="s">
        <v>386</v>
      </c>
      <c r="AL23" s="66" t="s">
        <v>421</v>
      </c>
      <c r="AM23" s="128">
        <f t="shared" si="1"/>
        <v>0</v>
      </c>
      <c r="AU23" s="210">
        <f t="shared" si="2"/>
        <v>0</v>
      </c>
      <c r="AV23" s="207" t="str">
        <f t="shared" si="3"/>
        <v>OK</v>
      </c>
    </row>
    <row r="24" spans="1:48" ht="36" customHeight="1">
      <c r="A24" s="89"/>
      <c r="B24" s="90" t="s">
        <v>125</v>
      </c>
      <c r="C24" s="51" t="s">
        <v>126</v>
      </c>
      <c r="D24" s="50" t="s">
        <v>127</v>
      </c>
      <c r="E24" s="33">
        <v>194550</v>
      </c>
      <c r="F24" s="414"/>
      <c r="G24" s="414"/>
      <c r="H24" s="414"/>
      <c r="I24" s="414">
        <v>194550</v>
      </c>
      <c r="J24" s="33">
        <v>151877</v>
      </c>
      <c r="K24" s="33"/>
      <c r="L24" s="33"/>
      <c r="M24" s="33"/>
      <c r="N24" s="33"/>
      <c r="O24" s="33">
        <v>-151877</v>
      </c>
      <c r="P24" s="34"/>
      <c r="Q24" s="35"/>
      <c r="R24" s="35"/>
      <c r="S24" s="27">
        <v>-151877</v>
      </c>
      <c r="T24" s="781">
        <f t="shared" si="0"/>
        <v>0</v>
      </c>
      <c r="U24" s="782"/>
      <c r="V24" s="772"/>
      <c r="W24" s="33">
        <v>-194550</v>
      </c>
      <c r="X24" s="413">
        <v>187443</v>
      </c>
      <c r="Y24" s="414"/>
      <c r="Z24" s="414"/>
      <c r="AA24" s="414"/>
      <c r="AB24" s="414"/>
      <c r="AC24" s="414"/>
      <c r="AD24" s="33">
        <v>-187443</v>
      </c>
      <c r="AE24" s="34"/>
      <c r="AF24" s="35"/>
      <c r="AG24" s="35"/>
      <c r="AH24" s="27">
        <v>-194550</v>
      </c>
      <c r="AI24" s="154"/>
      <c r="AJ24" s="155"/>
      <c r="AK24" s="153"/>
      <c r="AL24" s="66" t="s">
        <v>421</v>
      </c>
      <c r="AM24" s="128">
        <f t="shared" si="1"/>
        <v>0</v>
      </c>
      <c r="AQ24" s="35"/>
      <c r="AR24" s="35"/>
      <c r="AS24" s="35"/>
      <c r="AT24" s="76">
        <f>AF24-AN24-AO24-AP24-AQ24-AS24</f>
        <v>0</v>
      </c>
      <c r="AU24" s="210">
        <f t="shared" si="2"/>
        <v>0</v>
      </c>
      <c r="AV24" s="207" t="str">
        <f t="shared" si="3"/>
        <v>OK</v>
      </c>
    </row>
    <row r="25" spans="1:48" ht="42" customHeight="1">
      <c r="A25" s="89"/>
      <c r="B25" s="90" t="s">
        <v>28</v>
      </c>
      <c r="C25" s="51" t="s">
        <v>29</v>
      </c>
      <c r="D25" s="50" t="s">
        <v>30</v>
      </c>
      <c r="E25" s="33">
        <v>21925</v>
      </c>
      <c r="F25" s="414"/>
      <c r="G25" s="414"/>
      <c r="H25" s="414"/>
      <c r="I25" s="414"/>
      <c r="J25" s="33" t="s">
        <v>442</v>
      </c>
      <c r="K25" s="33"/>
      <c r="L25" s="33"/>
      <c r="M25" s="33"/>
      <c r="N25" s="33"/>
      <c r="O25" s="33">
        <v>21858</v>
      </c>
      <c r="P25" s="34"/>
      <c r="Q25" s="35">
        <v>21858</v>
      </c>
      <c r="R25" s="35"/>
      <c r="S25" s="27"/>
      <c r="T25" s="781">
        <f t="shared" si="0"/>
        <v>0</v>
      </c>
      <c r="U25" s="782"/>
      <c r="V25" s="771" t="s">
        <v>657</v>
      </c>
      <c r="W25" s="33">
        <v>21925</v>
      </c>
      <c r="X25" s="413" t="s">
        <v>442</v>
      </c>
      <c r="Y25" s="414"/>
      <c r="Z25" s="414"/>
      <c r="AA25" s="414"/>
      <c r="AB25" s="414"/>
      <c r="AC25" s="414"/>
      <c r="AD25" s="33">
        <v>22070</v>
      </c>
      <c r="AE25" s="34"/>
      <c r="AF25" s="35">
        <v>21925</v>
      </c>
      <c r="AG25" s="35"/>
      <c r="AH25" s="27"/>
      <c r="AI25" s="118"/>
      <c r="AJ25" s="155"/>
      <c r="AK25" s="129" t="s">
        <v>657</v>
      </c>
      <c r="AL25" s="66" t="s">
        <v>425</v>
      </c>
      <c r="AM25" s="128">
        <f t="shared" si="1"/>
        <v>0</v>
      </c>
      <c r="AS25" s="723">
        <v>21858</v>
      </c>
      <c r="AU25" s="210">
        <f t="shared" si="2"/>
        <v>21858</v>
      </c>
      <c r="AV25" s="207" t="str">
        <f t="shared" si="3"/>
        <v>OK</v>
      </c>
    </row>
    <row r="26" spans="1:48" ht="31.5" customHeight="1">
      <c r="A26" s="89"/>
      <c r="B26" s="92"/>
      <c r="C26" s="50"/>
      <c r="D26" s="50" t="s">
        <v>812</v>
      </c>
      <c r="E26" s="33">
        <v>2445</v>
      </c>
      <c r="F26" s="414"/>
      <c r="G26" s="414"/>
      <c r="H26" s="414"/>
      <c r="I26" s="414">
        <v>2801</v>
      </c>
      <c r="J26" s="33">
        <v>1797</v>
      </c>
      <c r="K26" s="33"/>
      <c r="L26" s="33"/>
      <c r="M26" s="33"/>
      <c r="N26" s="33"/>
      <c r="O26" s="33">
        <v>3449</v>
      </c>
      <c r="P26" s="34"/>
      <c r="Q26" s="35"/>
      <c r="R26" s="35"/>
      <c r="S26" s="27">
        <v>3449</v>
      </c>
      <c r="T26" s="781">
        <f t="shared" si="0"/>
        <v>0</v>
      </c>
      <c r="U26" s="782"/>
      <c r="V26" s="770" t="s">
        <v>174</v>
      </c>
      <c r="W26" s="33">
        <v>2801</v>
      </c>
      <c r="X26" s="413">
        <v>2677</v>
      </c>
      <c r="Y26" s="414"/>
      <c r="Z26" s="414"/>
      <c r="AA26" s="414"/>
      <c r="AB26" s="414"/>
      <c r="AC26" s="414"/>
      <c r="AD26" s="33">
        <v>2569</v>
      </c>
      <c r="AE26" s="34"/>
      <c r="AF26" s="35"/>
      <c r="AG26" s="35"/>
      <c r="AH26" s="27">
        <v>2801</v>
      </c>
      <c r="AI26" s="118"/>
      <c r="AJ26" s="155"/>
      <c r="AK26" s="142" t="s">
        <v>174</v>
      </c>
      <c r="AL26" s="66" t="s">
        <v>425</v>
      </c>
      <c r="AM26" s="128">
        <f t="shared" si="1"/>
        <v>0</v>
      </c>
      <c r="AS26" s="35"/>
      <c r="AU26" s="210">
        <f t="shared" si="2"/>
        <v>0</v>
      </c>
      <c r="AV26" s="207" t="str">
        <f t="shared" si="3"/>
        <v>OK</v>
      </c>
    </row>
    <row r="27" spans="1:48" ht="55.5" customHeight="1">
      <c r="A27" s="89"/>
      <c r="B27" s="94" t="s">
        <v>102</v>
      </c>
      <c r="C27" s="51" t="s">
        <v>103</v>
      </c>
      <c r="D27" s="50" t="s">
        <v>617</v>
      </c>
      <c r="E27" s="33">
        <v>2688590</v>
      </c>
      <c r="F27" s="414"/>
      <c r="G27" s="414">
        <v>2688590</v>
      </c>
      <c r="H27" s="414"/>
      <c r="I27" s="414"/>
      <c r="J27" s="33">
        <v>1957581</v>
      </c>
      <c r="K27" s="33"/>
      <c r="L27" s="33"/>
      <c r="M27" s="33"/>
      <c r="N27" s="33"/>
      <c r="O27" s="33">
        <v>-745065</v>
      </c>
      <c r="P27" s="34"/>
      <c r="Q27" s="35">
        <v>-745065</v>
      </c>
      <c r="R27" s="35"/>
      <c r="S27" s="27"/>
      <c r="T27" s="781">
        <f t="shared" si="0"/>
        <v>0</v>
      </c>
      <c r="U27" s="782"/>
      <c r="V27" s="770" t="s">
        <v>492</v>
      </c>
      <c r="W27" s="33">
        <v>-1098030</v>
      </c>
      <c r="X27" s="413">
        <v>2552092</v>
      </c>
      <c r="Y27" s="414"/>
      <c r="Z27" s="414"/>
      <c r="AA27" s="414"/>
      <c r="AB27" s="414"/>
      <c r="AC27" s="414"/>
      <c r="AD27" s="33">
        <v>-877314</v>
      </c>
      <c r="AE27" s="34"/>
      <c r="AF27" s="35">
        <v>-1098030</v>
      </c>
      <c r="AG27" s="35"/>
      <c r="AH27" s="27"/>
      <c r="AI27" s="118"/>
      <c r="AJ27" s="155"/>
      <c r="AK27" s="142" t="s">
        <v>492</v>
      </c>
      <c r="AL27" s="66" t="s">
        <v>421</v>
      </c>
      <c r="AM27" s="128">
        <f t="shared" si="1"/>
        <v>0</v>
      </c>
      <c r="AS27" s="35">
        <v>-745065</v>
      </c>
      <c r="AU27" s="210">
        <f t="shared" si="2"/>
        <v>-745065</v>
      </c>
      <c r="AV27" s="207" t="str">
        <f t="shared" si="3"/>
        <v>OK</v>
      </c>
    </row>
    <row r="28" spans="1:48" ht="55.5" customHeight="1">
      <c r="A28" s="89"/>
      <c r="B28" s="90" t="s">
        <v>448</v>
      </c>
      <c r="C28" s="51" t="s">
        <v>822</v>
      </c>
      <c r="D28" s="50" t="s">
        <v>823</v>
      </c>
      <c r="E28" s="33">
        <v>280</v>
      </c>
      <c r="F28" s="414"/>
      <c r="G28" s="414">
        <v>76</v>
      </c>
      <c r="H28" s="414"/>
      <c r="I28" s="414">
        <v>204</v>
      </c>
      <c r="J28" s="33">
        <v>204</v>
      </c>
      <c r="K28" s="33"/>
      <c r="L28" s="33"/>
      <c r="M28" s="33"/>
      <c r="N28" s="33"/>
      <c r="O28" s="33">
        <v>10000</v>
      </c>
      <c r="P28" s="34"/>
      <c r="Q28" s="35"/>
      <c r="R28" s="35"/>
      <c r="S28" s="27">
        <v>10000</v>
      </c>
      <c r="T28" s="781">
        <f t="shared" si="0"/>
        <v>0</v>
      </c>
      <c r="U28" s="782"/>
      <c r="V28" s="770" t="s">
        <v>824</v>
      </c>
      <c r="W28" s="33">
        <v>10000</v>
      </c>
      <c r="X28" s="413">
        <v>292</v>
      </c>
      <c r="Y28" s="414"/>
      <c r="Z28" s="414"/>
      <c r="AA28" s="414"/>
      <c r="AB28" s="414"/>
      <c r="AC28" s="414"/>
      <c r="AD28" s="33">
        <v>10000</v>
      </c>
      <c r="AE28" s="34"/>
      <c r="AF28" s="35"/>
      <c r="AG28" s="35"/>
      <c r="AH28" s="27">
        <v>10000</v>
      </c>
      <c r="AI28" s="118"/>
      <c r="AJ28" s="155"/>
      <c r="AK28" s="142" t="s">
        <v>824</v>
      </c>
      <c r="AL28" s="66" t="s">
        <v>425</v>
      </c>
      <c r="AM28" s="128">
        <f t="shared" si="1"/>
        <v>0</v>
      </c>
      <c r="AS28" s="62"/>
      <c r="AU28" s="210">
        <f t="shared" si="2"/>
        <v>0</v>
      </c>
      <c r="AV28" s="207" t="str">
        <f t="shared" si="3"/>
        <v>OK</v>
      </c>
    </row>
    <row r="29" spans="1:48" ht="31.5" customHeight="1">
      <c r="A29" s="89"/>
      <c r="B29" s="90" t="s">
        <v>128</v>
      </c>
      <c r="C29" s="51" t="s">
        <v>129</v>
      </c>
      <c r="D29" s="50" t="s">
        <v>734</v>
      </c>
      <c r="E29" s="33">
        <v>171</v>
      </c>
      <c r="F29" s="414"/>
      <c r="G29" s="414"/>
      <c r="H29" s="414"/>
      <c r="I29" s="414">
        <v>171</v>
      </c>
      <c r="J29" s="33">
        <v>5359</v>
      </c>
      <c r="K29" s="33"/>
      <c r="L29" s="33"/>
      <c r="M29" s="33"/>
      <c r="N29" s="33"/>
      <c r="O29" s="33">
        <v>-5359</v>
      </c>
      <c r="P29" s="34">
        <v>-5214</v>
      </c>
      <c r="Q29" s="35"/>
      <c r="R29" s="35"/>
      <c r="S29" s="27">
        <v>-145</v>
      </c>
      <c r="T29" s="781">
        <f t="shared" si="0"/>
        <v>0</v>
      </c>
      <c r="U29" s="782"/>
      <c r="V29" s="770"/>
      <c r="W29" s="33">
        <v>-171</v>
      </c>
      <c r="X29" s="413">
        <v>5034</v>
      </c>
      <c r="Y29" s="414"/>
      <c r="Z29" s="414"/>
      <c r="AA29" s="414"/>
      <c r="AB29" s="414"/>
      <c r="AC29" s="414"/>
      <c r="AD29" s="33">
        <v>-5034</v>
      </c>
      <c r="AE29" s="34"/>
      <c r="AF29" s="35"/>
      <c r="AG29" s="35"/>
      <c r="AH29" s="27">
        <v>-171</v>
      </c>
      <c r="AI29" s="118"/>
      <c r="AJ29" s="155"/>
      <c r="AK29" s="142"/>
      <c r="AL29" s="66" t="s">
        <v>421</v>
      </c>
      <c r="AM29" s="128">
        <f t="shared" si="1"/>
        <v>0</v>
      </c>
      <c r="AU29" s="210">
        <f t="shared" si="2"/>
        <v>0</v>
      </c>
      <c r="AV29" s="207" t="str">
        <f t="shared" si="3"/>
        <v>OK</v>
      </c>
    </row>
    <row r="30" spans="1:49" ht="43.5" customHeight="1" thickBot="1">
      <c r="A30" s="89"/>
      <c r="B30" s="91"/>
      <c r="C30" s="56"/>
      <c r="D30" s="38" t="s">
        <v>706</v>
      </c>
      <c r="E30" s="26">
        <v>34546</v>
      </c>
      <c r="F30" s="416"/>
      <c r="G30" s="416">
        <v>14124</v>
      </c>
      <c r="H30" s="416"/>
      <c r="I30" s="416">
        <f>E30-G30</f>
        <v>20422</v>
      </c>
      <c r="J30" s="26">
        <v>28705</v>
      </c>
      <c r="K30" s="26"/>
      <c r="L30" s="26"/>
      <c r="M30" s="26"/>
      <c r="N30" s="26"/>
      <c r="O30" s="26">
        <v>-28705</v>
      </c>
      <c r="P30" s="47"/>
      <c r="Q30" s="48">
        <v>-4655</v>
      </c>
      <c r="R30" s="48"/>
      <c r="S30" s="49">
        <v>-24050</v>
      </c>
      <c r="T30" s="781">
        <f t="shared" si="0"/>
        <v>0</v>
      </c>
      <c r="U30" s="782"/>
      <c r="V30" s="771" t="s">
        <v>357</v>
      </c>
      <c r="W30" s="26">
        <v>-34546</v>
      </c>
      <c r="X30" s="415">
        <v>35802</v>
      </c>
      <c r="Y30" s="416"/>
      <c r="Z30" s="416"/>
      <c r="AA30" s="416"/>
      <c r="AB30" s="416"/>
      <c r="AC30" s="416"/>
      <c r="AD30" s="26">
        <v>-35802</v>
      </c>
      <c r="AE30" s="47"/>
      <c r="AF30" s="48">
        <v>-14124</v>
      </c>
      <c r="AG30" s="48"/>
      <c r="AH30" s="49">
        <v>-20422</v>
      </c>
      <c r="AI30" s="119"/>
      <c r="AJ30" s="149"/>
      <c r="AK30" s="129" t="s">
        <v>175</v>
      </c>
      <c r="AL30" s="66" t="s">
        <v>421</v>
      </c>
      <c r="AM30" s="128">
        <f t="shared" si="1"/>
        <v>0</v>
      </c>
      <c r="AS30" s="48"/>
      <c r="AT30" s="726">
        <v>-4655</v>
      </c>
      <c r="AU30" s="210">
        <f t="shared" si="2"/>
        <v>-4655</v>
      </c>
      <c r="AV30" s="207" t="str">
        <f t="shared" si="3"/>
        <v>OK</v>
      </c>
      <c r="AW30" s="48">
        <v>-4655</v>
      </c>
    </row>
    <row r="31" spans="1:48" ht="31.5" customHeight="1" thickBot="1">
      <c r="A31" s="95"/>
      <c r="B31" s="96"/>
      <c r="C31" s="57"/>
      <c r="D31" s="57" t="s">
        <v>403</v>
      </c>
      <c r="E31" s="59">
        <f aca="true" t="shared" si="5" ref="E31:AB31">SUM(E9:E30)</f>
        <v>11913107</v>
      </c>
      <c r="F31" s="373">
        <f t="shared" si="5"/>
        <v>52930</v>
      </c>
      <c r="G31" s="373">
        <f t="shared" si="5"/>
        <v>3557045</v>
      </c>
      <c r="H31" s="373">
        <f t="shared" si="5"/>
        <v>0</v>
      </c>
      <c r="I31" s="373">
        <f t="shared" si="5"/>
        <v>8281563</v>
      </c>
      <c r="J31" s="59">
        <f t="shared" si="5"/>
        <v>11615502</v>
      </c>
      <c r="K31" s="59"/>
      <c r="L31" s="59"/>
      <c r="M31" s="59"/>
      <c r="N31" s="59"/>
      <c r="O31" s="59">
        <f>SUM(O9:O30)</f>
        <v>-3589271</v>
      </c>
      <c r="P31" s="68">
        <f>SUM(P9:P30)</f>
        <v>-28544</v>
      </c>
      <c r="Q31" s="61">
        <f>SUM(Q9:Q30)</f>
        <v>-1310986</v>
      </c>
      <c r="R31" s="61">
        <f>SUM(R9:R30)</f>
        <v>0</v>
      </c>
      <c r="S31" s="64">
        <f>SUM(S9:S30)</f>
        <v>-2249741</v>
      </c>
      <c r="T31" s="781">
        <f t="shared" si="0"/>
        <v>0</v>
      </c>
      <c r="U31" s="782"/>
      <c r="V31" s="590"/>
      <c r="W31" s="59">
        <f t="shared" si="5"/>
        <v>-4330592</v>
      </c>
      <c r="X31" s="419">
        <f t="shared" si="5"/>
        <v>13234289</v>
      </c>
      <c r="Y31" s="373">
        <f t="shared" si="5"/>
        <v>0</v>
      </c>
      <c r="Z31" s="373">
        <f t="shared" si="5"/>
        <v>178853</v>
      </c>
      <c r="AA31" s="373">
        <f t="shared" si="5"/>
        <v>0</v>
      </c>
      <c r="AB31" s="373">
        <f t="shared" si="5"/>
        <v>2502959</v>
      </c>
      <c r="AC31" s="373"/>
      <c r="AD31" s="59">
        <f>SUM(AD9:AD30)</f>
        <v>-4251594</v>
      </c>
      <c r="AE31" s="68">
        <f>SUM(AE9:AE30)</f>
        <v>-26990</v>
      </c>
      <c r="AF31" s="61">
        <f>SUM(AF9:AF30)</f>
        <v>-1818414</v>
      </c>
      <c r="AG31" s="61">
        <f>SUM(AG9:AG30)</f>
        <v>0</v>
      </c>
      <c r="AH31" s="64">
        <f>SUM(AH9:AH30)</f>
        <v>-2485188</v>
      </c>
      <c r="AI31" s="68"/>
      <c r="AJ31" s="64"/>
      <c r="AK31" s="144"/>
      <c r="AM31" s="128">
        <f t="shared" si="1"/>
        <v>0</v>
      </c>
      <c r="AO31" s="59">
        <f aca="true" t="shared" si="6" ref="AO31:AT31">SUM(AO9:AO30)</f>
        <v>0</v>
      </c>
      <c r="AP31" s="59">
        <f t="shared" si="6"/>
        <v>0</v>
      </c>
      <c r="AQ31" s="59">
        <f t="shared" si="6"/>
        <v>0</v>
      </c>
      <c r="AR31" s="59">
        <f t="shared" si="6"/>
        <v>0</v>
      </c>
      <c r="AS31" s="59">
        <f t="shared" si="6"/>
        <v>-745065</v>
      </c>
      <c r="AT31" s="59">
        <f t="shared" si="6"/>
        <v>-565921</v>
      </c>
      <c r="AU31" s="210">
        <f t="shared" si="2"/>
        <v>-1310986</v>
      </c>
      <c r="AV31" s="207" t="str">
        <f t="shared" si="3"/>
        <v>OK</v>
      </c>
    </row>
    <row r="32" spans="1:48" ht="43.5" customHeight="1">
      <c r="A32" s="89" t="s">
        <v>438</v>
      </c>
      <c r="B32" s="91" t="s">
        <v>439</v>
      </c>
      <c r="C32" s="51" t="s">
        <v>456</v>
      </c>
      <c r="D32" s="50" t="s">
        <v>457</v>
      </c>
      <c r="E32" s="33">
        <v>396073</v>
      </c>
      <c r="F32" s="414"/>
      <c r="G32" s="414"/>
      <c r="H32" s="414"/>
      <c r="I32" s="414">
        <v>396073</v>
      </c>
      <c r="J32" s="33">
        <v>378638</v>
      </c>
      <c r="K32" s="33"/>
      <c r="L32" s="33"/>
      <c r="M32" s="33"/>
      <c r="N32" s="33"/>
      <c r="O32" s="33">
        <v>71338</v>
      </c>
      <c r="P32" s="34"/>
      <c r="Q32" s="35"/>
      <c r="R32" s="35"/>
      <c r="S32" s="27">
        <v>71338</v>
      </c>
      <c r="T32" s="781">
        <f t="shared" si="0"/>
        <v>0</v>
      </c>
      <c r="U32" s="782"/>
      <c r="V32" s="770" t="s">
        <v>177</v>
      </c>
      <c r="W32" s="33">
        <v>53903</v>
      </c>
      <c r="X32" s="413">
        <v>393308</v>
      </c>
      <c r="Y32" s="414"/>
      <c r="Z32" s="414"/>
      <c r="AA32" s="414"/>
      <c r="AB32" s="414"/>
      <c r="AC32" s="414"/>
      <c r="AD32" s="33">
        <v>56668</v>
      </c>
      <c r="AE32" s="34"/>
      <c r="AF32" s="35"/>
      <c r="AG32" s="35"/>
      <c r="AH32" s="27">
        <v>53903</v>
      </c>
      <c r="AI32" s="118"/>
      <c r="AJ32" s="155"/>
      <c r="AK32" s="142" t="s">
        <v>177</v>
      </c>
      <c r="AL32" s="66" t="s">
        <v>425</v>
      </c>
      <c r="AM32" s="128">
        <f t="shared" si="1"/>
        <v>0</v>
      </c>
      <c r="AU32" s="210">
        <f t="shared" si="2"/>
        <v>0</v>
      </c>
      <c r="AV32" s="207" t="str">
        <f t="shared" si="3"/>
        <v>OK</v>
      </c>
    </row>
    <row r="33" spans="1:48" ht="31.5" customHeight="1">
      <c r="A33" s="89"/>
      <c r="B33" s="91"/>
      <c r="C33" s="51" t="s">
        <v>454</v>
      </c>
      <c r="D33" s="50" t="s">
        <v>455</v>
      </c>
      <c r="E33" s="33">
        <v>416378</v>
      </c>
      <c r="F33" s="414">
        <v>276652</v>
      </c>
      <c r="G33" s="414"/>
      <c r="H33" s="414"/>
      <c r="I33" s="414">
        <v>137729</v>
      </c>
      <c r="J33" s="33">
        <v>396849</v>
      </c>
      <c r="K33" s="33"/>
      <c r="L33" s="33"/>
      <c r="M33" s="33"/>
      <c r="N33" s="33"/>
      <c r="O33" s="33">
        <f>-J33</f>
        <v>-396849</v>
      </c>
      <c r="P33" s="34">
        <v>-263656</v>
      </c>
      <c r="Q33" s="35"/>
      <c r="R33" s="35"/>
      <c r="S33" s="27">
        <v>-133193</v>
      </c>
      <c r="T33" s="781">
        <f t="shared" si="0"/>
        <v>0</v>
      </c>
      <c r="U33" s="782"/>
      <c r="V33" s="770"/>
      <c r="W33" s="33">
        <v>-416378</v>
      </c>
      <c r="X33" s="413">
        <v>422339</v>
      </c>
      <c r="Y33" s="414">
        <f>X33*2/3</f>
        <v>281559.3333333333</v>
      </c>
      <c r="Z33" s="414"/>
      <c r="AA33" s="414"/>
      <c r="AB33" s="414">
        <f>X33*1/3</f>
        <v>140779.66666666666</v>
      </c>
      <c r="AC33" s="414"/>
      <c r="AD33" s="33">
        <v>-416378</v>
      </c>
      <c r="AE33" s="34">
        <v>-276652</v>
      </c>
      <c r="AF33" s="35"/>
      <c r="AG33" s="35"/>
      <c r="AH33" s="27">
        <v>-139726</v>
      </c>
      <c r="AI33" s="118"/>
      <c r="AJ33" s="155"/>
      <c r="AK33" s="142"/>
      <c r="AL33" s="66" t="s">
        <v>752</v>
      </c>
      <c r="AM33" s="128">
        <f t="shared" si="1"/>
        <v>0</v>
      </c>
      <c r="AU33" s="210">
        <f t="shared" si="2"/>
        <v>0</v>
      </c>
      <c r="AV33" s="207" t="str">
        <f t="shared" si="3"/>
        <v>OK</v>
      </c>
    </row>
    <row r="34" spans="1:48" ht="31.5" customHeight="1">
      <c r="A34" s="89"/>
      <c r="B34" s="92"/>
      <c r="C34" s="50"/>
      <c r="D34" s="50" t="s">
        <v>404</v>
      </c>
      <c r="E34" s="33">
        <v>12680</v>
      </c>
      <c r="F34" s="414">
        <v>12420</v>
      </c>
      <c r="G34" s="414"/>
      <c r="H34" s="414"/>
      <c r="I34" s="414">
        <f>E34-F34</f>
        <v>260</v>
      </c>
      <c r="J34" s="33">
        <v>9653</v>
      </c>
      <c r="K34" s="33"/>
      <c r="L34" s="33"/>
      <c r="M34" s="33"/>
      <c r="N34" s="33"/>
      <c r="O34" s="33">
        <f>-J34</f>
        <v>-9653</v>
      </c>
      <c r="P34" s="34">
        <v>-9416</v>
      </c>
      <c r="Q34" s="35"/>
      <c r="R34" s="35"/>
      <c r="S34" s="27">
        <v>-237</v>
      </c>
      <c r="T34" s="781">
        <f t="shared" si="0"/>
        <v>0</v>
      </c>
      <c r="U34" s="782"/>
      <c r="V34" s="770"/>
      <c r="W34" s="33">
        <v>-12680</v>
      </c>
      <c r="X34" s="413">
        <v>12694</v>
      </c>
      <c r="Y34" s="414"/>
      <c r="Z34" s="414"/>
      <c r="AA34" s="414"/>
      <c r="AB34" s="414"/>
      <c r="AC34" s="414"/>
      <c r="AD34" s="33">
        <v>-12694</v>
      </c>
      <c r="AE34" s="34">
        <f>-F34</f>
        <v>-12420</v>
      </c>
      <c r="AF34" s="35"/>
      <c r="AG34" s="35"/>
      <c r="AH34" s="27">
        <f>-I34</f>
        <v>-260</v>
      </c>
      <c r="AI34" s="118"/>
      <c r="AJ34" s="155"/>
      <c r="AK34" s="142"/>
      <c r="AL34" s="66" t="s">
        <v>421</v>
      </c>
      <c r="AM34" s="128">
        <f t="shared" si="1"/>
        <v>0</v>
      </c>
      <c r="AU34" s="210">
        <f t="shared" si="2"/>
        <v>0</v>
      </c>
      <c r="AV34" s="207" t="str">
        <f t="shared" si="3"/>
        <v>OK</v>
      </c>
    </row>
    <row r="35" spans="1:48" ht="45.75" customHeight="1">
      <c r="A35" s="89"/>
      <c r="B35" s="94" t="s">
        <v>387</v>
      </c>
      <c r="C35" s="51" t="s">
        <v>53</v>
      </c>
      <c r="D35" s="50" t="s">
        <v>82</v>
      </c>
      <c r="E35" s="33">
        <v>1092557</v>
      </c>
      <c r="F35" s="414">
        <v>12547</v>
      </c>
      <c r="G35" s="414"/>
      <c r="H35" s="414"/>
      <c r="I35" s="414">
        <v>1080010</v>
      </c>
      <c r="J35" s="33">
        <v>1157851</v>
      </c>
      <c r="K35" s="33"/>
      <c r="L35" s="33"/>
      <c r="M35" s="33"/>
      <c r="N35" s="33"/>
      <c r="O35" s="33">
        <v>3000</v>
      </c>
      <c r="P35" s="34"/>
      <c r="Q35" s="35"/>
      <c r="R35" s="35"/>
      <c r="S35" s="27">
        <v>3000</v>
      </c>
      <c r="T35" s="781">
        <f t="shared" si="0"/>
        <v>0</v>
      </c>
      <c r="U35" s="782"/>
      <c r="V35" s="771" t="s">
        <v>819</v>
      </c>
      <c r="W35" s="33">
        <v>3000</v>
      </c>
      <c r="X35" s="413">
        <v>984530</v>
      </c>
      <c r="Y35" s="414"/>
      <c r="Z35" s="414"/>
      <c r="AA35" s="414"/>
      <c r="AB35" s="414"/>
      <c r="AC35" s="414"/>
      <c r="AD35" s="33">
        <v>3000</v>
      </c>
      <c r="AE35" s="34"/>
      <c r="AF35" s="35"/>
      <c r="AG35" s="35"/>
      <c r="AH35" s="27">
        <v>3000</v>
      </c>
      <c r="AI35" s="118"/>
      <c r="AJ35" s="155"/>
      <c r="AK35" s="129" t="s">
        <v>819</v>
      </c>
      <c r="AL35" s="66" t="s">
        <v>425</v>
      </c>
      <c r="AM35" s="128">
        <f t="shared" si="1"/>
        <v>0</v>
      </c>
      <c r="AU35" s="210">
        <f t="shared" si="2"/>
        <v>0</v>
      </c>
      <c r="AV35" s="207" t="str">
        <f t="shared" si="3"/>
        <v>OK</v>
      </c>
    </row>
    <row r="36" spans="1:48" ht="45.75" customHeight="1">
      <c r="A36" s="89"/>
      <c r="B36" s="214"/>
      <c r="C36" s="51" t="s">
        <v>466</v>
      </c>
      <c r="D36" s="50" t="s">
        <v>467</v>
      </c>
      <c r="E36" s="33">
        <v>191376</v>
      </c>
      <c r="F36" s="414"/>
      <c r="G36" s="414"/>
      <c r="H36" s="414"/>
      <c r="I36" s="414">
        <v>191376</v>
      </c>
      <c r="J36" s="33">
        <v>188982</v>
      </c>
      <c r="K36" s="33"/>
      <c r="L36" s="33"/>
      <c r="M36" s="33"/>
      <c r="N36" s="33"/>
      <c r="O36" s="33">
        <v>40386</v>
      </c>
      <c r="P36" s="34"/>
      <c r="Q36" s="35"/>
      <c r="R36" s="35"/>
      <c r="S36" s="27">
        <v>40386</v>
      </c>
      <c r="T36" s="781">
        <f t="shared" si="0"/>
        <v>0</v>
      </c>
      <c r="U36" s="782"/>
      <c r="V36" s="218" t="s">
        <v>553</v>
      </c>
      <c r="W36" s="33">
        <v>37992</v>
      </c>
      <c r="X36" s="413">
        <v>183024</v>
      </c>
      <c r="Y36" s="414"/>
      <c r="Z36" s="414"/>
      <c r="AA36" s="414"/>
      <c r="AB36" s="414"/>
      <c r="AC36" s="414"/>
      <c r="AD36" s="33">
        <v>46344</v>
      </c>
      <c r="AE36" s="34"/>
      <c r="AF36" s="35"/>
      <c r="AG36" s="35"/>
      <c r="AH36" s="27">
        <v>37992</v>
      </c>
      <c r="AI36" s="154"/>
      <c r="AJ36" s="155"/>
      <c r="AK36" s="38" t="s">
        <v>178</v>
      </c>
      <c r="AL36" s="76" t="s">
        <v>425</v>
      </c>
      <c r="AM36" s="128">
        <f t="shared" si="1"/>
        <v>0</v>
      </c>
      <c r="AT36" s="76"/>
      <c r="AU36" s="210">
        <f t="shared" si="2"/>
        <v>0</v>
      </c>
      <c r="AV36" s="207" t="str">
        <f t="shared" si="3"/>
        <v>OK</v>
      </c>
    </row>
    <row r="37" spans="1:48" ht="45.75" customHeight="1">
      <c r="A37" s="89"/>
      <c r="B37" s="214"/>
      <c r="C37" s="50"/>
      <c r="D37" s="50" t="s">
        <v>75</v>
      </c>
      <c r="E37" s="33"/>
      <c r="F37" s="414"/>
      <c r="G37" s="414"/>
      <c r="H37" s="414"/>
      <c r="I37" s="414"/>
      <c r="J37" s="33">
        <v>292022</v>
      </c>
      <c r="K37" s="33"/>
      <c r="L37" s="33"/>
      <c r="M37" s="33"/>
      <c r="N37" s="33"/>
      <c r="O37" s="33">
        <v>15978</v>
      </c>
      <c r="P37" s="34"/>
      <c r="Q37" s="35"/>
      <c r="R37" s="35"/>
      <c r="S37" s="27">
        <v>15978</v>
      </c>
      <c r="T37" s="781">
        <f t="shared" si="0"/>
        <v>0</v>
      </c>
      <c r="U37" s="782"/>
      <c r="V37" s="218" t="s">
        <v>566</v>
      </c>
      <c r="W37" s="33"/>
      <c r="X37" s="413"/>
      <c r="Y37" s="414"/>
      <c r="Z37" s="414"/>
      <c r="AA37" s="414"/>
      <c r="AB37" s="414"/>
      <c r="AC37" s="414"/>
      <c r="AD37" s="33"/>
      <c r="AE37" s="34"/>
      <c r="AF37" s="35"/>
      <c r="AG37" s="35"/>
      <c r="AH37" s="27"/>
      <c r="AI37" s="154"/>
      <c r="AJ37" s="155"/>
      <c r="AK37" s="38"/>
      <c r="AL37" s="76" t="s">
        <v>425</v>
      </c>
      <c r="AM37" s="128">
        <f t="shared" si="1"/>
        <v>0</v>
      </c>
      <c r="AT37" s="76"/>
      <c r="AU37" s="210">
        <f t="shared" si="2"/>
        <v>0</v>
      </c>
      <c r="AV37" s="207" t="str">
        <f t="shared" si="3"/>
        <v>OK</v>
      </c>
    </row>
    <row r="38" spans="1:48" ht="57" customHeight="1">
      <c r="A38" s="89"/>
      <c r="B38" s="214"/>
      <c r="C38" s="38" t="s">
        <v>37</v>
      </c>
      <c r="D38" s="50" t="s">
        <v>426</v>
      </c>
      <c r="E38" s="33">
        <v>5512961</v>
      </c>
      <c r="F38" s="414"/>
      <c r="G38" s="414"/>
      <c r="H38" s="414"/>
      <c r="I38" s="414">
        <v>5512961</v>
      </c>
      <c r="J38" s="33">
        <v>5635465</v>
      </c>
      <c r="K38" s="33"/>
      <c r="L38" s="33"/>
      <c r="M38" s="33"/>
      <c r="N38" s="33"/>
      <c r="O38" s="33">
        <v>160000</v>
      </c>
      <c r="P38" s="34"/>
      <c r="Q38" s="35"/>
      <c r="R38" s="35"/>
      <c r="S38" s="27">
        <v>160000</v>
      </c>
      <c r="T38" s="781">
        <f t="shared" si="0"/>
        <v>0</v>
      </c>
      <c r="U38" s="782"/>
      <c r="V38" s="771" t="s">
        <v>827</v>
      </c>
      <c r="W38" s="33">
        <v>116000</v>
      </c>
      <c r="X38" s="413">
        <v>5213540</v>
      </c>
      <c r="Y38" s="414"/>
      <c r="Z38" s="414"/>
      <c r="AA38" s="414"/>
      <c r="AB38" s="414"/>
      <c r="AC38" s="414"/>
      <c r="AD38" s="33">
        <v>1278000</v>
      </c>
      <c r="AE38" s="34"/>
      <c r="AF38" s="35"/>
      <c r="AG38" s="35"/>
      <c r="AH38" s="27">
        <v>116000</v>
      </c>
      <c r="AI38" s="118"/>
      <c r="AJ38" s="186"/>
      <c r="AK38" s="129" t="s">
        <v>722</v>
      </c>
      <c r="AL38" s="66" t="s">
        <v>425</v>
      </c>
      <c r="AM38" s="128">
        <f t="shared" si="1"/>
        <v>0</v>
      </c>
      <c r="AP38" s="25"/>
      <c r="AU38" s="210">
        <f t="shared" si="2"/>
        <v>0</v>
      </c>
      <c r="AV38" s="207" t="str">
        <f t="shared" si="3"/>
        <v>OK</v>
      </c>
    </row>
    <row r="39" spans="1:48" ht="51.75" customHeight="1">
      <c r="A39" s="89"/>
      <c r="B39" s="90" t="s">
        <v>440</v>
      </c>
      <c r="C39" s="56" t="s">
        <v>431</v>
      </c>
      <c r="D39" s="50" t="s">
        <v>441</v>
      </c>
      <c r="E39" s="33" t="s">
        <v>518</v>
      </c>
      <c r="F39" s="414"/>
      <c r="G39" s="414"/>
      <c r="H39" s="414"/>
      <c r="I39" s="414"/>
      <c r="J39" s="33" t="s">
        <v>518</v>
      </c>
      <c r="K39" s="33"/>
      <c r="L39" s="33"/>
      <c r="M39" s="33"/>
      <c r="N39" s="33"/>
      <c r="O39" s="33">
        <v>8310</v>
      </c>
      <c r="P39" s="34"/>
      <c r="Q39" s="35"/>
      <c r="R39" s="35"/>
      <c r="S39" s="27">
        <v>8310</v>
      </c>
      <c r="T39" s="781">
        <f aca="true" t="shared" si="7" ref="T39:T70">O39-P39-Q39-R39-S39</f>
        <v>0</v>
      </c>
      <c r="U39" s="782"/>
      <c r="V39" s="770" t="s">
        <v>179</v>
      </c>
      <c r="W39" s="33">
        <v>8310</v>
      </c>
      <c r="X39" s="413" t="s">
        <v>518</v>
      </c>
      <c r="Y39" s="414"/>
      <c r="Z39" s="414"/>
      <c r="AA39" s="414"/>
      <c r="AB39" s="414"/>
      <c r="AC39" s="414"/>
      <c r="AD39" s="33">
        <v>8310</v>
      </c>
      <c r="AE39" s="34"/>
      <c r="AF39" s="35"/>
      <c r="AG39" s="35"/>
      <c r="AH39" s="27">
        <v>8310</v>
      </c>
      <c r="AI39" s="118"/>
      <c r="AJ39" s="155"/>
      <c r="AK39" s="142" t="s">
        <v>179</v>
      </c>
      <c r="AL39" s="66" t="s">
        <v>425</v>
      </c>
      <c r="AM39" s="128">
        <f aca="true" t="shared" si="8" ref="AM39:AM70">W39-AE39-AF39-AG39-AH39</f>
        <v>0</v>
      </c>
      <c r="AS39" s="25"/>
      <c r="AU39" s="210">
        <f t="shared" si="2"/>
        <v>0</v>
      </c>
      <c r="AV39" s="207" t="str">
        <f aca="true" t="shared" si="9" ref="AV39:AV66">IF(Q39=AU39,"OK","OUT")</f>
        <v>OK</v>
      </c>
    </row>
    <row r="40" spans="1:48" ht="40.5" customHeight="1">
      <c r="A40" s="89"/>
      <c r="B40" s="91"/>
      <c r="C40" s="50"/>
      <c r="D40" s="50" t="s">
        <v>723</v>
      </c>
      <c r="E40" s="33">
        <v>15405</v>
      </c>
      <c r="F40" s="414">
        <v>10269</v>
      </c>
      <c r="G40" s="414"/>
      <c r="H40" s="414"/>
      <c r="I40" s="414">
        <v>5136</v>
      </c>
      <c r="J40" s="33">
        <v>14273</v>
      </c>
      <c r="K40" s="33"/>
      <c r="L40" s="33"/>
      <c r="M40" s="33"/>
      <c r="N40" s="33"/>
      <c r="O40" s="33">
        <v>10000</v>
      </c>
      <c r="P40" s="34"/>
      <c r="Q40" s="35"/>
      <c r="R40" s="35"/>
      <c r="S40" s="27">
        <v>10000</v>
      </c>
      <c r="T40" s="781">
        <f t="shared" si="7"/>
        <v>0</v>
      </c>
      <c r="U40" s="782"/>
      <c r="V40" s="770" t="s">
        <v>760</v>
      </c>
      <c r="W40" s="33">
        <v>10000</v>
      </c>
      <c r="X40" s="413">
        <v>16777</v>
      </c>
      <c r="Y40" s="414"/>
      <c r="Z40" s="414"/>
      <c r="AA40" s="414"/>
      <c r="AB40" s="414"/>
      <c r="AC40" s="414"/>
      <c r="AD40" s="33">
        <v>10000</v>
      </c>
      <c r="AE40" s="34"/>
      <c r="AF40" s="35"/>
      <c r="AG40" s="35"/>
      <c r="AH40" s="27">
        <v>10000</v>
      </c>
      <c r="AI40" s="118"/>
      <c r="AJ40" s="155"/>
      <c r="AK40" s="142" t="s">
        <v>760</v>
      </c>
      <c r="AL40" s="66" t="s">
        <v>425</v>
      </c>
      <c r="AM40" s="128">
        <f t="shared" si="8"/>
        <v>0</v>
      </c>
      <c r="AS40" s="25"/>
      <c r="AU40" s="210">
        <f t="shared" si="2"/>
        <v>0</v>
      </c>
      <c r="AV40" s="207" t="str">
        <f t="shared" si="9"/>
        <v>OK</v>
      </c>
    </row>
    <row r="41" spans="1:48" ht="40.5" customHeight="1">
      <c r="A41" s="89"/>
      <c r="B41" s="91"/>
      <c r="C41" s="50" t="s">
        <v>19</v>
      </c>
      <c r="D41" s="50"/>
      <c r="E41" s="33">
        <v>1869793</v>
      </c>
      <c r="F41" s="414"/>
      <c r="G41" s="414"/>
      <c r="H41" s="414"/>
      <c r="I41" s="414"/>
      <c r="J41" s="33">
        <v>1235448</v>
      </c>
      <c r="K41" s="33"/>
      <c r="L41" s="33"/>
      <c r="M41" s="33"/>
      <c r="N41" s="33"/>
      <c r="O41" s="33">
        <v>1570000</v>
      </c>
      <c r="P41" s="34"/>
      <c r="Q41" s="35"/>
      <c r="R41" s="35"/>
      <c r="S41" s="27">
        <v>1570000</v>
      </c>
      <c r="T41" s="781">
        <f t="shared" si="7"/>
        <v>0</v>
      </c>
      <c r="U41" s="782"/>
      <c r="V41" s="770" t="s">
        <v>827</v>
      </c>
      <c r="W41" s="33">
        <v>1098000</v>
      </c>
      <c r="X41" s="413">
        <v>2014372</v>
      </c>
      <c r="Y41" s="414"/>
      <c r="Z41" s="414"/>
      <c r="AA41" s="414"/>
      <c r="AB41" s="414"/>
      <c r="AC41" s="414"/>
      <c r="AD41" s="33">
        <v>953000</v>
      </c>
      <c r="AE41" s="34"/>
      <c r="AF41" s="35"/>
      <c r="AG41" s="35"/>
      <c r="AH41" s="27">
        <v>1098000</v>
      </c>
      <c r="AI41" s="118"/>
      <c r="AJ41" s="155"/>
      <c r="AK41" s="142" t="s">
        <v>827</v>
      </c>
      <c r="AL41" s="66" t="s">
        <v>425</v>
      </c>
      <c r="AM41" s="128">
        <f t="shared" si="8"/>
        <v>0</v>
      </c>
      <c r="AS41" s="25"/>
      <c r="AU41" s="210">
        <f t="shared" si="2"/>
        <v>0</v>
      </c>
      <c r="AV41" s="207" t="str">
        <f t="shared" si="9"/>
        <v>OK</v>
      </c>
    </row>
    <row r="42" spans="1:48" ht="40.5" customHeight="1">
      <c r="A42" s="89"/>
      <c r="B42" s="91"/>
      <c r="C42" s="50" t="s">
        <v>470</v>
      </c>
      <c r="D42" s="50" t="s">
        <v>300</v>
      </c>
      <c r="E42" s="33" t="s">
        <v>442</v>
      </c>
      <c r="F42" s="414"/>
      <c r="G42" s="414"/>
      <c r="H42" s="414"/>
      <c r="I42" s="414"/>
      <c r="J42" s="33" t="s">
        <v>442</v>
      </c>
      <c r="K42" s="33"/>
      <c r="L42" s="33"/>
      <c r="M42" s="33"/>
      <c r="N42" s="33"/>
      <c r="O42" s="33">
        <v>360000</v>
      </c>
      <c r="P42" s="34"/>
      <c r="Q42" s="35"/>
      <c r="R42" s="35"/>
      <c r="S42" s="27">
        <v>360000</v>
      </c>
      <c r="T42" s="781">
        <f t="shared" si="7"/>
        <v>0</v>
      </c>
      <c r="U42" s="782"/>
      <c r="V42" s="770" t="s">
        <v>239</v>
      </c>
      <c r="W42" s="33">
        <v>500000</v>
      </c>
      <c r="X42" s="413" t="s">
        <v>442</v>
      </c>
      <c r="Y42" s="414"/>
      <c r="Z42" s="414"/>
      <c r="AA42" s="414"/>
      <c r="AB42" s="414"/>
      <c r="AC42" s="414"/>
      <c r="AD42" s="33">
        <v>500000</v>
      </c>
      <c r="AE42" s="34"/>
      <c r="AF42" s="35"/>
      <c r="AG42" s="35"/>
      <c r="AH42" s="27">
        <v>500000</v>
      </c>
      <c r="AI42" s="118"/>
      <c r="AJ42" s="155"/>
      <c r="AK42" s="142" t="s">
        <v>239</v>
      </c>
      <c r="AL42" s="66" t="s">
        <v>425</v>
      </c>
      <c r="AM42" s="128">
        <f t="shared" si="8"/>
        <v>0</v>
      </c>
      <c r="AS42" s="25"/>
      <c r="AU42" s="210">
        <f t="shared" si="2"/>
        <v>0</v>
      </c>
      <c r="AV42" s="207" t="str">
        <f t="shared" si="9"/>
        <v>OK</v>
      </c>
    </row>
    <row r="43" spans="1:48" ht="40.5" customHeight="1">
      <c r="A43" s="89"/>
      <c r="B43" s="93" t="s">
        <v>471</v>
      </c>
      <c r="C43" s="50" t="s">
        <v>471</v>
      </c>
      <c r="D43" s="50" t="s">
        <v>564</v>
      </c>
      <c r="E43" s="33">
        <v>6875</v>
      </c>
      <c r="F43" s="414">
        <v>5052</v>
      </c>
      <c r="G43" s="414"/>
      <c r="H43" s="414"/>
      <c r="I43" s="414">
        <v>1823</v>
      </c>
      <c r="J43" s="33">
        <v>9839</v>
      </c>
      <c r="K43" s="33"/>
      <c r="L43" s="33"/>
      <c r="M43" s="33"/>
      <c r="N43" s="33"/>
      <c r="O43" s="33">
        <v>2500</v>
      </c>
      <c r="P43" s="34">
        <v>1850</v>
      </c>
      <c r="Q43" s="35"/>
      <c r="R43" s="35"/>
      <c r="S43" s="27">
        <v>650</v>
      </c>
      <c r="T43" s="781">
        <f t="shared" si="7"/>
        <v>0</v>
      </c>
      <c r="U43" s="782"/>
      <c r="V43" s="770" t="s">
        <v>359</v>
      </c>
      <c r="W43" s="33">
        <v>2500</v>
      </c>
      <c r="X43" s="413">
        <v>4668</v>
      </c>
      <c r="Y43" s="414"/>
      <c r="Z43" s="414"/>
      <c r="AA43" s="414"/>
      <c r="AB43" s="414"/>
      <c r="AC43" s="414"/>
      <c r="AD43" s="33">
        <v>2500</v>
      </c>
      <c r="AE43" s="34"/>
      <c r="AF43" s="35"/>
      <c r="AG43" s="35"/>
      <c r="AH43" s="27">
        <v>2500</v>
      </c>
      <c r="AI43" s="118"/>
      <c r="AJ43" s="155"/>
      <c r="AK43" s="142" t="s">
        <v>760</v>
      </c>
      <c r="AL43" s="66" t="s">
        <v>425</v>
      </c>
      <c r="AM43" s="128">
        <f t="shared" si="8"/>
        <v>0</v>
      </c>
      <c r="AS43" s="25"/>
      <c r="AU43" s="210">
        <f t="shared" si="2"/>
        <v>0</v>
      </c>
      <c r="AV43" s="207" t="str">
        <f t="shared" si="9"/>
        <v>OK</v>
      </c>
    </row>
    <row r="44" spans="1:48" ht="51" customHeight="1">
      <c r="A44" s="89"/>
      <c r="B44" s="90" t="s">
        <v>463</v>
      </c>
      <c r="C44" s="50" t="s">
        <v>696</v>
      </c>
      <c r="D44" s="50" t="s">
        <v>300</v>
      </c>
      <c r="E44" s="33" t="s">
        <v>442</v>
      </c>
      <c r="F44" s="414"/>
      <c r="G44" s="414"/>
      <c r="H44" s="414"/>
      <c r="I44" s="414"/>
      <c r="J44" s="33" t="s">
        <v>442</v>
      </c>
      <c r="K44" s="33"/>
      <c r="L44" s="33"/>
      <c r="M44" s="33"/>
      <c r="N44" s="33"/>
      <c r="O44" s="33">
        <v>451145</v>
      </c>
      <c r="P44" s="34"/>
      <c r="Q44" s="35"/>
      <c r="R44" s="35"/>
      <c r="S44" s="27">
        <v>451145</v>
      </c>
      <c r="T44" s="781">
        <f t="shared" si="7"/>
        <v>0</v>
      </c>
      <c r="U44" s="782"/>
      <c r="V44" s="770"/>
      <c r="W44" s="33">
        <v>604826</v>
      </c>
      <c r="X44" s="413" t="s">
        <v>442</v>
      </c>
      <c r="Y44" s="414"/>
      <c r="Z44" s="414"/>
      <c r="AA44" s="414"/>
      <c r="AB44" s="414"/>
      <c r="AC44" s="414"/>
      <c r="AD44" s="33">
        <v>843186</v>
      </c>
      <c r="AE44" s="34"/>
      <c r="AF44" s="35"/>
      <c r="AG44" s="35"/>
      <c r="AH44" s="27">
        <v>604826</v>
      </c>
      <c r="AI44" s="118"/>
      <c r="AJ44" s="155"/>
      <c r="AK44" s="142"/>
      <c r="AL44" s="66" t="s">
        <v>425</v>
      </c>
      <c r="AM44" s="128">
        <f t="shared" si="8"/>
        <v>0</v>
      </c>
      <c r="AS44" s="25"/>
      <c r="AU44" s="210">
        <f t="shared" si="2"/>
        <v>0</v>
      </c>
      <c r="AV44" s="207" t="str">
        <f t="shared" si="9"/>
        <v>OK</v>
      </c>
    </row>
    <row r="45" spans="1:48" ht="40.5" customHeight="1">
      <c r="A45" s="89"/>
      <c r="B45" s="93" t="s">
        <v>84</v>
      </c>
      <c r="C45" s="50" t="s">
        <v>405</v>
      </c>
      <c r="D45" s="50"/>
      <c r="E45" s="33">
        <v>61740</v>
      </c>
      <c r="F45" s="414">
        <v>41160</v>
      </c>
      <c r="G45" s="414"/>
      <c r="H45" s="414">
        <v>20400</v>
      </c>
      <c r="I45" s="414">
        <v>180</v>
      </c>
      <c r="J45" s="33">
        <v>61740</v>
      </c>
      <c r="K45" s="33"/>
      <c r="L45" s="33"/>
      <c r="M45" s="33"/>
      <c r="N45" s="33"/>
      <c r="O45" s="33">
        <f>-J45</f>
        <v>-61740</v>
      </c>
      <c r="P45" s="34">
        <v>-41160</v>
      </c>
      <c r="Q45" s="35"/>
      <c r="R45" s="35">
        <v>-20100</v>
      </c>
      <c r="S45" s="27">
        <v>-480</v>
      </c>
      <c r="T45" s="781">
        <f t="shared" si="7"/>
        <v>0</v>
      </c>
      <c r="U45" s="782"/>
      <c r="V45" s="770" t="s">
        <v>72</v>
      </c>
      <c r="W45" s="33">
        <v>-61740</v>
      </c>
      <c r="X45" s="413">
        <v>63650</v>
      </c>
      <c r="Y45" s="414"/>
      <c r="Z45" s="414"/>
      <c r="AA45" s="414"/>
      <c r="AB45" s="414"/>
      <c r="AC45" s="414"/>
      <c r="AD45" s="33">
        <v>-63650</v>
      </c>
      <c r="AE45" s="34">
        <v>-41160</v>
      </c>
      <c r="AF45" s="35"/>
      <c r="AG45" s="35">
        <v>-20400</v>
      </c>
      <c r="AH45" s="27">
        <v>-180</v>
      </c>
      <c r="AI45" s="118"/>
      <c r="AJ45" s="155"/>
      <c r="AK45" s="142" t="s">
        <v>72</v>
      </c>
      <c r="AL45" s="66" t="s">
        <v>421</v>
      </c>
      <c r="AM45" s="128">
        <f t="shared" si="8"/>
        <v>0</v>
      </c>
      <c r="AU45" s="210">
        <f t="shared" si="2"/>
        <v>0</v>
      </c>
      <c r="AV45" s="207" t="str">
        <f t="shared" si="9"/>
        <v>OK</v>
      </c>
    </row>
    <row r="46" spans="1:48" ht="62.25" customHeight="1">
      <c r="A46" s="89"/>
      <c r="B46" s="91" t="s">
        <v>680</v>
      </c>
      <c r="C46" s="56" t="s">
        <v>479</v>
      </c>
      <c r="D46" s="56" t="s">
        <v>480</v>
      </c>
      <c r="E46" s="42">
        <v>681062</v>
      </c>
      <c r="F46" s="418">
        <v>340481</v>
      </c>
      <c r="G46" s="418"/>
      <c r="H46" s="418"/>
      <c r="I46" s="418">
        <v>340581</v>
      </c>
      <c r="J46" s="42">
        <v>809876</v>
      </c>
      <c r="K46" s="42"/>
      <c r="L46" s="42"/>
      <c r="M46" s="42"/>
      <c r="N46" s="42"/>
      <c r="O46" s="42">
        <v>50000</v>
      </c>
      <c r="P46" s="43">
        <v>25000</v>
      </c>
      <c r="Q46" s="44"/>
      <c r="R46" s="44"/>
      <c r="S46" s="45">
        <v>25000</v>
      </c>
      <c r="T46" s="781">
        <f t="shared" si="7"/>
        <v>0</v>
      </c>
      <c r="U46" s="782"/>
      <c r="V46" s="773" t="s">
        <v>659</v>
      </c>
      <c r="W46" s="42">
        <v>50000</v>
      </c>
      <c r="X46" s="417">
        <v>628533</v>
      </c>
      <c r="Y46" s="418"/>
      <c r="Z46" s="418"/>
      <c r="AA46" s="418"/>
      <c r="AB46" s="418"/>
      <c r="AC46" s="418"/>
      <c r="AD46" s="42">
        <v>50000</v>
      </c>
      <c r="AE46" s="43"/>
      <c r="AF46" s="44"/>
      <c r="AG46" s="44"/>
      <c r="AH46" s="45">
        <v>50000</v>
      </c>
      <c r="AI46" s="62"/>
      <c r="AJ46" s="150"/>
      <c r="AK46" s="143" t="s">
        <v>659</v>
      </c>
      <c r="AL46" s="66" t="s">
        <v>425</v>
      </c>
      <c r="AM46" s="128">
        <f t="shared" si="8"/>
        <v>0</v>
      </c>
      <c r="AO46" s="25"/>
      <c r="AU46" s="210">
        <f t="shared" si="2"/>
        <v>0</v>
      </c>
      <c r="AV46" s="207" t="str">
        <f t="shared" si="9"/>
        <v>OK</v>
      </c>
    </row>
    <row r="47" spans="1:48" ht="54.75" customHeight="1">
      <c r="A47" s="89"/>
      <c r="B47" s="152"/>
      <c r="C47" s="38" t="s">
        <v>22</v>
      </c>
      <c r="D47" s="38" t="s">
        <v>426</v>
      </c>
      <c r="E47" s="26">
        <v>3356098</v>
      </c>
      <c r="F47" s="416"/>
      <c r="G47" s="416">
        <v>203080</v>
      </c>
      <c r="H47" s="416"/>
      <c r="I47" s="416">
        <v>3153018</v>
      </c>
      <c r="J47" s="26">
        <v>3369809</v>
      </c>
      <c r="K47" s="26"/>
      <c r="L47" s="26"/>
      <c r="M47" s="26"/>
      <c r="N47" s="26"/>
      <c r="O47" s="26">
        <v>5574000</v>
      </c>
      <c r="P47" s="47"/>
      <c r="Q47" s="48"/>
      <c r="R47" s="48"/>
      <c r="S47" s="49">
        <v>5574000</v>
      </c>
      <c r="T47" s="781">
        <f t="shared" si="7"/>
        <v>0</v>
      </c>
      <c r="U47" s="782"/>
      <c r="V47" s="771" t="s">
        <v>496</v>
      </c>
      <c r="W47" s="26">
        <v>5715000</v>
      </c>
      <c r="X47" s="415">
        <v>3144492</v>
      </c>
      <c r="Y47" s="416"/>
      <c r="Z47" s="416"/>
      <c r="AA47" s="416"/>
      <c r="AB47" s="416"/>
      <c r="AC47" s="416"/>
      <c r="AD47" s="26">
        <v>6337000</v>
      </c>
      <c r="AE47" s="47"/>
      <c r="AF47" s="48"/>
      <c r="AG47" s="48"/>
      <c r="AH47" s="49">
        <v>5715000</v>
      </c>
      <c r="AI47" s="119"/>
      <c r="AJ47" s="149"/>
      <c r="AK47" s="129" t="s">
        <v>496</v>
      </c>
      <c r="AL47" s="66" t="s">
        <v>425</v>
      </c>
      <c r="AM47" s="128">
        <f t="shared" si="8"/>
        <v>0</v>
      </c>
      <c r="AO47" s="25"/>
      <c r="AU47" s="210">
        <f t="shared" si="2"/>
        <v>0</v>
      </c>
      <c r="AV47" s="207" t="str">
        <f t="shared" si="9"/>
        <v>OK</v>
      </c>
    </row>
    <row r="48" spans="1:48" ht="54.75" customHeight="1" thickBot="1">
      <c r="A48" s="89"/>
      <c r="B48" s="91" t="s">
        <v>697</v>
      </c>
      <c r="C48" s="38" t="s">
        <v>825</v>
      </c>
      <c r="D48" s="38"/>
      <c r="E48" s="26">
        <v>1021466</v>
      </c>
      <c r="F48" s="416"/>
      <c r="G48" s="416"/>
      <c r="H48" s="416"/>
      <c r="I48" s="416">
        <v>1021466</v>
      </c>
      <c r="J48" s="26">
        <v>943961</v>
      </c>
      <c r="K48" s="26"/>
      <c r="L48" s="26"/>
      <c r="M48" s="26"/>
      <c r="N48" s="26"/>
      <c r="O48" s="26">
        <v>574000</v>
      </c>
      <c r="P48" s="119"/>
      <c r="Q48" s="48"/>
      <c r="R48" s="48"/>
      <c r="S48" s="49">
        <v>574000</v>
      </c>
      <c r="T48" s="781">
        <f t="shared" si="7"/>
        <v>0</v>
      </c>
      <c r="U48" s="782"/>
      <c r="V48" s="771" t="s">
        <v>554</v>
      </c>
      <c r="W48" s="26">
        <v>33000</v>
      </c>
      <c r="X48" s="415">
        <v>1014386</v>
      </c>
      <c r="Y48" s="416"/>
      <c r="Z48" s="416"/>
      <c r="AA48" s="416"/>
      <c r="AB48" s="416"/>
      <c r="AC48" s="416"/>
      <c r="AD48" s="26">
        <v>34000</v>
      </c>
      <c r="AE48" s="119"/>
      <c r="AF48" s="48"/>
      <c r="AG48" s="48"/>
      <c r="AH48" s="49">
        <v>33000</v>
      </c>
      <c r="AI48" s="119"/>
      <c r="AJ48" s="149"/>
      <c r="AK48" s="129" t="s">
        <v>826</v>
      </c>
      <c r="AL48" s="66" t="s">
        <v>425</v>
      </c>
      <c r="AM48" s="128">
        <f t="shared" si="8"/>
        <v>0</v>
      </c>
      <c r="AO48" s="25"/>
      <c r="AU48" s="210">
        <f t="shared" si="2"/>
        <v>0</v>
      </c>
      <c r="AV48" s="207" t="str">
        <f t="shared" si="9"/>
        <v>OK</v>
      </c>
    </row>
    <row r="49" spans="1:48" ht="31.5" customHeight="1" thickBot="1">
      <c r="A49" s="95"/>
      <c r="B49" s="96"/>
      <c r="C49" s="57"/>
      <c r="D49" s="57" t="s">
        <v>403</v>
      </c>
      <c r="E49" s="59">
        <f aca="true" t="shared" si="10" ref="E49:J49">SUM(E32:E48)</f>
        <v>14634464</v>
      </c>
      <c r="F49" s="373">
        <f t="shared" si="10"/>
        <v>698581</v>
      </c>
      <c r="G49" s="373">
        <f t="shared" si="10"/>
        <v>203080</v>
      </c>
      <c r="H49" s="373">
        <f t="shared" si="10"/>
        <v>20400</v>
      </c>
      <c r="I49" s="373">
        <f t="shared" si="10"/>
        <v>11840613</v>
      </c>
      <c r="J49" s="59">
        <f t="shared" si="10"/>
        <v>14504406</v>
      </c>
      <c r="K49" s="59"/>
      <c r="L49" s="59"/>
      <c r="M49" s="59"/>
      <c r="N49" s="59"/>
      <c r="O49" s="59">
        <f>SUM(O32:O48)</f>
        <v>8422415</v>
      </c>
      <c r="P49" s="68">
        <f>SUM(P32:P48)</f>
        <v>-287382</v>
      </c>
      <c r="Q49" s="61">
        <f>SUM(Q32:Q48)</f>
        <v>0</v>
      </c>
      <c r="R49" s="61">
        <f>SUM(R32:R48)</f>
        <v>-20100</v>
      </c>
      <c r="S49" s="64">
        <f>SUM(S32:S48)</f>
        <v>8729897</v>
      </c>
      <c r="T49" s="781">
        <f t="shared" si="7"/>
        <v>0</v>
      </c>
      <c r="U49" s="782"/>
      <c r="V49" s="590"/>
      <c r="W49" s="59">
        <f aca="true" t="shared" si="11" ref="W49:AB49">SUM(W32:W48)</f>
        <v>7741733</v>
      </c>
      <c r="X49" s="419">
        <f t="shared" si="11"/>
        <v>14096313</v>
      </c>
      <c r="Y49" s="373">
        <f t="shared" si="11"/>
        <v>281559.3333333333</v>
      </c>
      <c r="Z49" s="373">
        <f t="shared" si="11"/>
        <v>0</v>
      </c>
      <c r="AA49" s="373">
        <f t="shared" si="11"/>
        <v>0</v>
      </c>
      <c r="AB49" s="373">
        <f t="shared" si="11"/>
        <v>140779.66666666666</v>
      </c>
      <c r="AC49" s="373"/>
      <c r="AD49" s="59">
        <f>SUM(AD32:AD48)</f>
        <v>9629286</v>
      </c>
      <c r="AE49" s="68">
        <f>SUM(AE32:AE48)</f>
        <v>-330232</v>
      </c>
      <c r="AF49" s="61">
        <f>SUM(AF32:AF48)</f>
        <v>0</v>
      </c>
      <c r="AG49" s="61">
        <f>SUM(AG32:AG48)</f>
        <v>-20400</v>
      </c>
      <c r="AH49" s="64">
        <f>SUM(AH32:AH48)</f>
        <v>8092365</v>
      </c>
      <c r="AI49" s="68"/>
      <c r="AJ49" s="64"/>
      <c r="AK49" s="144"/>
      <c r="AM49" s="128">
        <f t="shared" si="8"/>
        <v>0</v>
      </c>
      <c r="AO49" s="59">
        <f aca="true" t="shared" si="12" ref="AO49:AT49">SUM(AO32:AO47)</f>
        <v>0</v>
      </c>
      <c r="AP49" s="59">
        <f t="shared" si="12"/>
        <v>0</v>
      </c>
      <c r="AQ49" s="59">
        <f t="shared" si="12"/>
        <v>0</v>
      </c>
      <c r="AR49" s="59">
        <f t="shared" si="12"/>
        <v>0</v>
      </c>
      <c r="AS49" s="59">
        <f t="shared" si="12"/>
        <v>0</v>
      </c>
      <c r="AT49" s="59">
        <f t="shared" si="12"/>
        <v>0</v>
      </c>
      <c r="AU49" s="210">
        <f t="shared" si="2"/>
        <v>0</v>
      </c>
      <c r="AV49" s="207" t="str">
        <f t="shared" si="9"/>
        <v>OK</v>
      </c>
    </row>
    <row r="50" spans="1:48" ht="39" customHeight="1">
      <c r="A50" s="89" t="s">
        <v>231</v>
      </c>
      <c r="B50" s="92" t="s">
        <v>230</v>
      </c>
      <c r="C50" s="50" t="s">
        <v>443</v>
      </c>
      <c r="D50" s="50"/>
      <c r="E50" s="33">
        <v>1745</v>
      </c>
      <c r="F50" s="414"/>
      <c r="G50" s="414"/>
      <c r="H50" s="414"/>
      <c r="I50" s="414"/>
      <c r="J50" s="33">
        <v>1745</v>
      </c>
      <c r="K50" s="33"/>
      <c r="L50" s="33"/>
      <c r="M50" s="33"/>
      <c r="N50" s="33"/>
      <c r="O50" s="33">
        <v>-1745</v>
      </c>
      <c r="P50" s="34"/>
      <c r="Q50" s="35"/>
      <c r="R50" s="35"/>
      <c r="S50" s="27">
        <v>-1745</v>
      </c>
      <c r="T50" s="781">
        <f t="shared" si="7"/>
        <v>0</v>
      </c>
      <c r="U50" s="782"/>
      <c r="V50" s="770" t="s">
        <v>35</v>
      </c>
      <c r="W50" s="33">
        <v>-1745</v>
      </c>
      <c r="X50" s="413">
        <v>2805</v>
      </c>
      <c r="Y50" s="414"/>
      <c r="Z50" s="414"/>
      <c r="AA50" s="414"/>
      <c r="AB50" s="414"/>
      <c r="AC50" s="414"/>
      <c r="AD50" s="33">
        <v>-2805</v>
      </c>
      <c r="AE50" s="34"/>
      <c r="AF50" s="35"/>
      <c r="AG50" s="35"/>
      <c r="AH50" s="27">
        <v>-1745</v>
      </c>
      <c r="AI50" s="118"/>
      <c r="AJ50" s="155"/>
      <c r="AK50" s="142" t="s">
        <v>35</v>
      </c>
      <c r="AL50" s="66" t="s">
        <v>421</v>
      </c>
      <c r="AM50" s="128">
        <f t="shared" si="8"/>
        <v>0</v>
      </c>
      <c r="AU50" s="210">
        <f t="shared" si="2"/>
        <v>0</v>
      </c>
      <c r="AV50" s="207" t="str">
        <f t="shared" si="9"/>
        <v>OK</v>
      </c>
    </row>
    <row r="51" spans="1:49" ht="106.5" customHeight="1">
      <c r="A51" s="89"/>
      <c r="B51" s="90" t="s">
        <v>675</v>
      </c>
      <c r="C51" s="50" t="s">
        <v>537</v>
      </c>
      <c r="D51" s="50" t="s">
        <v>538</v>
      </c>
      <c r="E51" s="33" t="s">
        <v>442</v>
      </c>
      <c r="F51" s="414"/>
      <c r="G51" s="414"/>
      <c r="H51" s="414"/>
      <c r="I51" s="414"/>
      <c r="J51" s="33" t="s">
        <v>442</v>
      </c>
      <c r="K51" s="33"/>
      <c r="L51" s="33"/>
      <c r="M51" s="33"/>
      <c r="N51" s="33"/>
      <c r="O51" s="33">
        <v>146664</v>
      </c>
      <c r="P51" s="34"/>
      <c r="Q51" s="48">
        <v>146664</v>
      </c>
      <c r="R51" s="48"/>
      <c r="S51" s="27"/>
      <c r="T51" s="781">
        <f t="shared" si="7"/>
        <v>0</v>
      </c>
      <c r="U51" s="782"/>
      <c r="V51" s="770" t="s">
        <v>539</v>
      </c>
      <c r="W51" s="33">
        <v>95911</v>
      </c>
      <c r="X51" s="413" t="s">
        <v>442</v>
      </c>
      <c r="Y51" s="414"/>
      <c r="Z51" s="414"/>
      <c r="AA51" s="414"/>
      <c r="AB51" s="414"/>
      <c r="AC51" s="414"/>
      <c r="AD51" s="33">
        <v>418117</v>
      </c>
      <c r="AE51" s="34"/>
      <c r="AF51" s="48">
        <v>95911</v>
      </c>
      <c r="AG51" s="48"/>
      <c r="AH51" s="27"/>
      <c r="AI51" s="118"/>
      <c r="AJ51" s="155"/>
      <c r="AK51" s="142" t="s">
        <v>539</v>
      </c>
      <c r="AL51" s="66" t="s">
        <v>425</v>
      </c>
      <c r="AM51" s="128">
        <f t="shared" si="8"/>
        <v>0</v>
      </c>
      <c r="AS51" s="27"/>
      <c r="AT51" s="726">
        <v>146664</v>
      </c>
      <c r="AU51" s="210">
        <f t="shared" si="2"/>
        <v>146664</v>
      </c>
      <c r="AV51" s="207" t="str">
        <f t="shared" si="9"/>
        <v>OK</v>
      </c>
      <c r="AW51" s="726">
        <v>146664</v>
      </c>
    </row>
    <row r="52" spans="1:48" ht="54" customHeight="1">
      <c r="A52" s="89"/>
      <c r="B52" s="91"/>
      <c r="C52" s="50" t="s">
        <v>504</v>
      </c>
      <c r="D52" s="50" t="s">
        <v>829</v>
      </c>
      <c r="E52" s="33">
        <v>4758</v>
      </c>
      <c r="F52" s="414"/>
      <c r="G52" s="414"/>
      <c r="H52" s="414"/>
      <c r="I52" s="414">
        <v>4758</v>
      </c>
      <c r="J52" s="33">
        <v>3577</v>
      </c>
      <c r="K52" s="33"/>
      <c r="L52" s="33"/>
      <c r="M52" s="33"/>
      <c r="N52" s="33"/>
      <c r="O52" s="33">
        <v>10000</v>
      </c>
      <c r="P52" s="34"/>
      <c r="Q52" s="35"/>
      <c r="R52" s="35"/>
      <c r="S52" s="27">
        <v>10000</v>
      </c>
      <c r="T52" s="781">
        <f t="shared" si="7"/>
        <v>0</v>
      </c>
      <c r="U52" s="782"/>
      <c r="V52" s="770" t="s">
        <v>242</v>
      </c>
      <c r="W52" s="33">
        <v>10000</v>
      </c>
      <c r="X52" s="413">
        <v>5059</v>
      </c>
      <c r="Y52" s="414"/>
      <c r="Z52" s="414"/>
      <c r="AA52" s="414"/>
      <c r="AB52" s="414"/>
      <c r="AC52" s="414"/>
      <c r="AD52" s="33">
        <v>10000</v>
      </c>
      <c r="AE52" s="34"/>
      <c r="AF52" s="35"/>
      <c r="AG52" s="35"/>
      <c r="AH52" s="27">
        <v>10000</v>
      </c>
      <c r="AI52" s="118"/>
      <c r="AJ52" s="155"/>
      <c r="AK52" s="142" t="s">
        <v>242</v>
      </c>
      <c r="AL52" s="66" t="s">
        <v>425</v>
      </c>
      <c r="AM52" s="128">
        <f t="shared" si="8"/>
        <v>0</v>
      </c>
      <c r="AU52" s="210">
        <f t="shared" si="2"/>
        <v>0</v>
      </c>
      <c r="AV52" s="207" t="str">
        <f t="shared" si="9"/>
        <v>OK</v>
      </c>
    </row>
    <row r="53" spans="1:48" ht="58.5" customHeight="1">
      <c r="A53" s="89"/>
      <c r="B53" s="90" t="s">
        <v>86</v>
      </c>
      <c r="C53" s="50" t="s">
        <v>87</v>
      </c>
      <c r="D53" s="50" t="s">
        <v>555</v>
      </c>
      <c r="E53" s="33">
        <v>87000</v>
      </c>
      <c r="F53" s="414"/>
      <c r="G53" s="414"/>
      <c r="H53" s="414"/>
      <c r="I53" s="414">
        <v>87000</v>
      </c>
      <c r="J53" s="33">
        <v>87000</v>
      </c>
      <c r="K53" s="33"/>
      <c r="L53" s="33"/>
      <c r="M53" s="33"/>
      <c r="N53" s="33"/>
      <c r="O53" s="33">
        <v>-87000</v>
      </c>
      <c r="P53" s="34"/>
      <c r="Q53" s="35"/>
      <c r="R53" s="35"/>
      <c r="S53" s="27">
        <v>-87000</v>
      </c>
      <c r="T53" s="781">
        <f t="shared" si="7"/>
        <v>0</v>
      </c>
      <c r="U53" s="782"/>
      <c r="V53" s="770" t="s">
        <v>708</v>
      </c>
      <c r="W53" s="33">
        <v>-87000</v>
      </c>
      <c r="X53" s="413">
        <v>87000</v>
      </c>
      <c r="Y53" s="414"/>
      <c r="Z53" s="414"/>
      <c r="AA53" s="414"/>
      <c r="AB53" s="414"/>
      <c r="AC53" s="414"/>
      <c r="AD53" s="33">
        <v>-87000</v>
      </c>
      <c r="AE53" s="34"/>
      <c r="AF53" s="35"/>
      <c r="AG53" s="35"/>
      <c r="AH53" s="27">
        <v>-87000</v>
      </c>
      <c r="AI53" s="118"/>
      <c r="AJ53" s="155"/>
      <c r="AK53" s="142" t="s">
        <v>708</v>
      </c>
      <c r="AL53" s="66" t="s">
        <v>421</v>
      </c>
      <c r="AM53" s="128">
        <f t="shared" si="8"/>
        <v>0</v>
      </c>
      <c r="AU53" s="210">
        <f t="shared" si="2"/>
        <v>0</v>
      </c>
      <c r="AV53" s="207" t="str">
        <f t="shared" si="9"/>
        <v>OK</v>
      </c>
    </row>
    <row r="54" spans="1:48" ht="58.5" customHeight="1">
      <c r="A54" s="89"/>
      <c r="B54" s="90" t="s">
        <v>183</v>
      </c>
      <c r="C54" s="50" t="s">
        <v>184</v>
      </c>
      <c r="D54" s="50"/>
      <c r="E54" s="33">
        <v>3573794</v>
      </c>
      <c r="F54" s="414"/>
      <c r="G54" s="414"/>
      <c r="H54" s="414"/>
      <c r="I54" s="414">
        <v>3573794</v>
      </c>
      <c r="J54" s="33">
        <v>3426020</v>
      </c>
      <c r="K54" s="33"/>
      <c r="L54" s="33"/>
      <c r="M54" s="33"/>
      <c r="N54" s="33"/>
      <c r="O54" s="33">
        <v>222775</v>
      </c>
      <c r="P54" s="34"/>
      <c r="Q54" s="35"/>
      <c r="R54" s="35"/>
      <c r="S54" s="27">
        <v>222775</v>
      </c>
      <c r="T54" s="781">
        <f t="shared" si="7"/>
        <v>0</v>
      </c>
      <c r="U54" s="782"/>
      <c r="V54" s="770" t="s">
        <v>556</v>
      </c>
      <c r="W54" s="33">
        <v>75001</v>
      </c>
      <c r="X54" s="413"/>
      <c r="Y54" s="414"/>
      <c r="Z54" s="414"/>
      <c r="AA54" s="414"/>
      <c r="AB54" s="414"/>
      <c r="AC54" s="414"/>
      <c r="AD54" s="33"/>
      <c r="AE54" s="34"/>
      <c r="AF54" s="35"/>
      <c r="AG54" s="35"/>
      <c r="AH54" s="27">
        <v>75001</v>
      </c>
      <c r="AI54" s="118"/>
      <c r="AJ54" s="155"/>
      <c r="AK54" s="142" t="s">
        <v>185</v>
      </c>
      <c r="AL54" s="66" t="s">
        <v>425</v>
      </c>
      <c r="AM54" s="128">
        <f t="shared" si="8"/>
        <v>0</v>
      </c>
      <c r="AU54" s="210"/>
      <c r="AV54" s="207" t="str">
        <f t="shared" si="9"/>
        <v>OK</v>
      </c>
    </row>
    <row r="55" spans="1:48" ht="42.75" customHeight="1">
      <c r="A55" s="89"/>
      <c r="B55" s="90" t="s">
        <v>419</v>
      </c>
      <c r="C55" s="50" t="s">
        <v>794</v>
      </c>
      <c r="D55" s="50" t="s">
        <v>90</v>
      </c>
      <c r="E55" s="33">
        <v>68538</v>
      </c>
      <c r="F55" s="414"/>
      <c r="G55" s="414">
        <v>22404</v>
      </c>
      <c r="H55" s="414"/>
      <c r="I55" s="414">
        <v>46134</v>
      </c>
      <c r="J55" s="33">
        <v>45715</v>
      </c>
      <c r="K55" s="33"/>
      <c r="L55" s="33"/>
      <c r="M55" s="33"/>
      <c r="N55" s="33"/>
      <c r="O55" s="33">
        <v>22858</v>
      </c>
      <c r="P55" s="34"/>
      <c r="Q55" s="35"/>
      <c r="R55" s="35"/>
      <c r="S55" s="27">
        <v>22858</v>
      </c>
      <c r="T55" s="781">
        <f t="shared" si="7"/>
        <v>0</v>
      </c>
      <c r="U55" s="782"/>
      <c r="V55" s="770" t="s">
        <v>360</v>
      </c>
      <c r="W55" s="33">
        <v>22730</v>
      </c>
      <c r="X55" s="413">
        <v>45460</v>
      </c>
      <c r="Y55" s="414"/>
      <c r="Z55" s="414"/>
      <c r="AA55" s="414"/>
      <c r="AB55" s="414"/>
      <c r="AC55" s="414"/>
      <c r="AD55" s="33">
        <v>22730</v>
      </c>
      <c r="AE55" s="34"/>
      <c r="AF55" s="35"/>
      <c r="AG55" s="35"/>
      <c r="AH55" s="27">
        <v>22730</v>
      </c>
      <c r="AI55" s="118"/>
      <c r="AJ55" s="155"/>
      <c r="AK55" s="142" t="s">
        <v>830</v>
      </c>
      <c r="AL55" s="66" t="s">
        <v>425</v>
      </c>
      <c r="AM55" s="128">
        <f t="shared" si="8"/>
        <v>0</v>
      </c>
      <c r="AS55" s="62"/>
      <c r="AU55" s="210">
        <f>SUM(AO55:AT55)</f>
        <v>0</v>
      </c>
      <c r="AV55" s="207" t="str">
        <f t="shared" si="9"/>
        <v>OK</v>
      </c>
    </row>
    <row r="56" spans="1:48" ht="38.25" customHeight="1">
      <c r="A56" s="89"/>
      <c r="B56" s="91"/>
      <c r="C56" s="51" t="s">
        <v>420</v>
      </c>
      <c r="D56" s="50" t="s">
        <v>505</v>
      </c>
      <c r="E56" s="33" t="s">
        <v>442</v>
      </c>
      <c r="F56" s="414"/>
      <c r="G56" s="414"/>
      <c r="H56" s="414"/>
      <c r="I56" s="414"/>
      <c r="J56" s="33" t="s">
        <v>442</v>
      </c>
      <c r="K56" s="33"/>
      <c r="L56" s="33"/>
      <c r="M56" s="33"/>
      <c r="N56" s="33"/>
      <c r="O56" s="33">
        <v>50000</v>
      </c>
      <c r="P56" s="34"/>
      <c r="Q56" s="35"/>
      <c r="R56" s="35"/>
      <c r="S56" s="27">
        <v>50000</v>
      </c>
      <c r="T56" s="781">
        <f t="shared" si="7"/>
        <v>0</v>
      </c>
      <c r="U56" s="782"/>
      <c r="V56" s="770" t="s">
        <v>255</v>
      </c>
      <c r="W56" s="33">
        <v>50000</v>
      </c>
      <c r="X56" s="413" t="s">
        <v>442</v>
      </c>
      <c r="Y56" s="414"/>
      <c r="Z56" s="414"/>
      <c r="AA56" s="414"/>
      <c r="AB56" s="414"/>
      <c r="AC56" s="414"/>
      <c r="AD56" s="33">
        <v>50000</v>
      </c>
      <c r="AE56" s="34"/>
      <c r="AF56" s="35"/>
      <c r="AG56" s="35"/>
      <c r="AH56" s="27">
        <v>50000</v>
      </c>
      <c r="AI56" s="118"/>
      <c r="AJ56" s="155"/>
      <c r="AK56" s="142" t="s">
        <v>255</v>
      </c>
      <c r="AL56" s="66" t="s">
        <v>425</v>
      </c>
      <c r="AM56" s="128">
        <f t="shared" si="8"/>
        <v>0</v>
      </c>
      <c r="AO56" s="25"/>
      <c r="AU56" s="210">
        <f>SUM(AO56:AT56)</f>
        <v>0</v>
      </c>
      <c r="AV56" s="207" t="str">
        <f t="shared" si="9"/>
        <v>OK</v>
      </c>
    </row>
    <row r="57" spans="1:48" ht="38.25" customHeight="1">
      <c r="A57" s="89"/>
      <c r="B57" s="152"/>
      <c r="C57" s="50"/>
      <c r="D57" s="38" t="s">
        <v>511</v>
      </c>
      <c r="E57" s="26">
        <v>727</v>
      </c>
      <c r="F57" s="416">
        <v>242</v>
      </c>
      <c r="G57" s="416"/>
      <c r="H57" s="416"/>
      <c r="I57" s="416">
        <v>485</v>
      </c>
      <c r="J57" s="26">
        <v>656</v>
      </c>
      <c r="K57" s="26"/>
      <c r="L57" s="26"/>
      <c r="M57" s="26"/>
      <c r="N57" s="26"/>
      <c r="O57" s="26">
        <v>9263</v>
      </c>
      <c r="P57" s="47">
        <v>4631</v>
      </c>
      <c r="Q57" s="47"/>
      <c r="R57" s="47"/>
      <c r="S57" s="49">
        <v>4632</v>
      </c>
      <c r="T57" s="781">
        <f t="shared" si="7"/>
        <v>0</v>
      </c>
      <c r="U57" s="782"/>
      <c r="V57" s="771" t="s">
        <v>427</v>
      </c>
      <c r="W57" s="26">
        <v>9263</v>
      </c>
      <c r="X57" s="415">
        <v>774</v>
      </c>
      <c r="Y57" s="416"/>
      <c r="Z57" s="416"/>
      <c r="AA57" s="416"/>
      <c r="AB57" s="416"/>
      <c r="AC57" s="416"/>
      <c r="AD57" s="26">
        <v>9263</v>
      </c>
      <c r="AE57" s="47"/>
      <c r="AF57" s="47"/>
      <c r="AG57" s="47"/>
      <c r="AH57" s="49">
        <v>9263</v>
      </c>
      <c r="AI57" s="119"/>
      <c r="AJ57" s="149"/>
      <c r="AK57" s="129" t="s">
        <v>427</v>
      </c>
      <c r="AL57" s="66" t="s">
        <v>425</v>
      </c>
      <c r="AM57" s="128">
        <f t="shared" si="8"/>
        <v>0</v>
      </c>
      <c r="AO57" s="25"/>
      <c r="AU57" s="210">
        <f>SUM(AO57:AT57)</f>
        <v>0</v>
      </c>
      <c r="AV57" s="207" t="str">
        <f t="shared" si="9"/>
        <v>OK</v>
      </c>
    </row>
    <row r="58" spans="1:48" ht="38.25" customHeight="1" thickBot="1">
      <c r="A58" s="89"/>
      <c r="B58" s="90" t="s">
        <v>186</v>
      </c>
      <c r="C58" s="56" t="s">
        <v>187</v>
      </c>
      <c r="D58" s="56" t="s">
        <v>188</v>
      </c>
      <c r="E58" s="42" t="s">
        <v>518</v>
      </c>
      <c r="F58" s="418"/>
      <c r="G58" s="418"/>
      <c r="H58" s="418"/>
      <c r="I58" s="418"/>
      <c r="J58" s="42" t="s">
        <v>518</v>
      </c>
      <c r="K58" s="42"/>
      <c r="L58" s="42"/>
      <c r="M58" s="42"/>
      <c r="N58" s="42"/>
      <c r="O58" s="42">
        <v>21552</v>
      </c>
      <c r="P58" s="43"/>
      <c r="Q58" s="43"/>
      <c r="R58" s="43"/>
      <c r="S58" s="45">
        <v>21552</v>
      </c>
      <c r="T58" s="781">
        <f t="shared" si="7"/>
        <v>0</v>
      </c>
      <c r="U58" s="782"/>
      <c r="V58" s="773" t="s">
        <v>254</v>
      </c>
      <c r="W58" s="42">
        <v>21552</v>
      </c>
      <c r="X58" s="417"/>
      <c r="Y58" s="418"/>
      <c r="Z58" s="418"/>
      <c r="AA58" s="418"/>
      <c r="AB58" s="418"/>
      <c r="AC58" s="418"/>
      <c r="AD58" s="42"/>
      <c r="AE58" s="43"/>
      <c r="AF58" s="43"/>
      <c r="AG58" s="43"/>
      <c r="AH58" s="45">
        <v>21552</v>
      </c>
      <c r="AI58" s="62"/>
      <c r="AJ58" s="150"/>
      <c r="AK58" s="143" t="s">
        <v>254</v>
      </c>
      <c r="AL58" s="66" t="s">
        <v>425</v>
      </c>
      <c r="AM58" s="128">
        <f t="shared" si="8"/>
        <v>0</v>
      </c>
      <c r="AO58" s="25"/>
      <c r="AU58" s="210"/>
      <c r="AV58" s="207" t="str">
        <f t="shared" si="9"/>
        <v>OK</v>
      </c>
    </row>
    <row r="59" spans="1:48" ht="31.5" customHeight="1" thickBot="1">
      <c r="A59" s="95"/>
      <c r="B59" s="96"/>
      <c r="C59" s="57"/>
      <c r="D59" s="57" t="s">
        <v>403</v>
      </c>
      <c r="E59" s="59">
        <f>SUM(E50:E58)</f>
        <v>3736562</v>
      </c>
      <c r="F59" s="373"/>
      <c r="G59" s="373"/>
      <c r="H59" s="373"/>
      <c r="I59" s="373"/>
      <c r="J59" s="59">
        <f>SUM(J50:J58)</f>
        <v>3564713</v>
      </c>
      <c r="K59" s="59"/>
      <c r="L59" s="59"/>
      <c r="M59" s="59"/>
      <c r="N59" s="59"/>
      <c r="O59" s="59">
        <f>SUM(O50:O58)</f>
        <v>394367</v>
      </c>
      <c r="P59" s="60">
        <f>SUM(P50:P57)</f>
        <v>4631</v>
      </c>
      <c r="Q59" s="60">
        <f>SUM(Q50:Q57)</f>
        <v>146664</v>
      </c>
      <c r="R59" s="60">
        <f>SUM(R50:R57)</f>
        <v>0</v>
      </c>
      <c r="S59" s="64">
        <f>SUM(S50:S58)</f>
        <v>243072</v>
      </c>
      <c r="T59" s="781">
        <f t="shared" si="7"/>
        <v>0</v>
      </c>
      <c r="U59" s="782"/>
      <c r="V59" s="590"/>
      <c r="W59" s="59">
        <f>SUM(W50:W58)</f>
        <v>195712</v>
      </c>
      <c r="X59" s="419">
        <f>SUM(X50:X58)</f>
        <v>141098</v>
      </c>
      <c r="Y59" s="373"/>
      <c r="Z59" s="373"/>
      <c r="AA59" s="373"/>
      <c r="AB59" s="373"/>
      <c r="AC59" s="373"/>
      <c r="AD59" s="59">
        <f>SUM(AD50:AD57)</f>
        <v>420305</v>
      </c>
      <c r="AE59" s="60">
        <f>SUM(AE50:AE57)</f>
        <v>0</v>
      </c>
      <c r="AF59" s="60">
        <f>SUM(AF50:AF57)</f>
        <v>95911</v>
      </c>
      <c r="AG59" s="60">
        <f>SUM(AG50:AG57)</f>
        <v>0</v>
      </c>
      <c r="AH59" s="64">
        <f>SUM(AH50:AH58)</f>
        <v>99801</v>
      </c>
      <c r="AI59" s="68"/>
      <c r="AJ59" s="64"/>
      <c r="AK59" s="144"/>
      <c r="AM59" s="128">
        <f t="shared" si="8"/>
        <v>0</v>
      </c>
      <c r="AO59" s="59">
        <f aca="true" t="shared" si="13" ref="AO59:AT59">SUM(AO50:AO57)</f>
        <v>0</v>
      </c>
      <c r="AP59" s="59">
        <f t="shared" si="13"/>
        <v>0</v>
      </c>
      <c r="AQ59" s="59">
        <f t="shared" si="13"/>
        <v>0</v>
      </c>
      <c r="AR59" s="59">
        <f t="shared" si="13"/>
        <v>0</v>
      </c>
      <c r="AS59" s="59">
        <f t="shared" si="13"/>
        <v>0</v>
      </c>
      <c r="AT59" s="59">
        <f t="shared" si="13"/>
        <v>146664</v>
      </c>
      <c r="AU59" s="210">
        <f aca="true" t="shared" si="14" ref="AU59:AU68">SUM(AO59:AT59)</f>
        <v>146664</v>
      </c>
      <c r="AV59" s="207" t="str">
        <f t="shared" si="9"/>
        <v>OK</v>
      </c>
    </row>
    <row r="60" spans="1:48" ht="31.5" customHeight="1">
      <c r="A60" s="819" t="s">
        <v>196</v>
      </c>
      <c r="B60" s="192" t="s">
        <v>481</v>
      </c>
      <c r="C60" s="180" t="s">
        <v>599</v>
      </c>
      <c r="D60" s="180" t="s">
        <v>600</v>
      </c>
      <c r="E60" s="230">
        <v>15106</v>
      </c>
      <c r="F60" s="421"/>
      <c r="G60" s="421"/>
      <c r="H60" s="421"/>
      <c r="I60" s="421"/>
      <c r="J60" s="230">
        <v>12854</v>
      </c>
      <c r="K60" s="230"/>
      <c r="L60" s="230"/>
      <c r="M60" s="230"/>
      <c r="N60" s="230"/>
      <c r="O60" s="230">
        <f>-J60</f>
        <v>-12854</v>
      </c>
      <c r="P60" s="193"/>
      <c r="Q60" s="193"/>
      <c r="R60" s="193"/>
      <c r="S60" s="194">
        <f>O60</f>
        <v>-12854</v>
      </c>
      <c r="T60" s="781">
        <f t="shared" si="7"/>
        <v>0</v>
      </c>
      <c r="U60" s="782"/>
      <c r="V60" s="769"/>
      <c r="W60" s="230">
        <v>-15106</v>
      </c>
      <c r="X60" s="420">
        <v>12326</v>
      </c>
      <c r="Y60" s="421"/>
      <c r="Z60" s="421"/>
      <c r="AA60" s="421"/>
      <c r="AB60" s="421"/>
      <c r="AC60" s="421"/>
      <c r="AD60" s="230">
        <v>-11000</v>
      </c>
      <c r="AE60" s="193"/>
      <c r="AF60" s="193"/>
      <c r="AG60" s="193"/>
      <c r="AH60" s="194">
        <v>-15106</v>
      </c>
      <c r="AI60" s="139"/>
      <c r="AJ60" s="173"/>
      <c r="AK60" s="126"/>
      <c r="AL60" s="66" t="s">
        <v>421</v>
      </c>
      <c r="AM60" s="128">
        <f t="shared" si="8"/>
        <v>0</v>
      </c>
      <c r="AO60" s="62"/>
      <c r="AP60" s="62"/>
      <c r="AQ60" s="62"/>
      <c r="AR60" s="62"/>
      <c r="AS60" s="62"/>
      <c r="AT60" s="62"/>
      <c r="AU60" s="210">
        <f t="shared" si="14"/>
        <v>0</v>
      </c>
      <c r="AV60" s="207" t="str">
        <f t="shared" si="9"/>
        <v>OK</v>
      </c>
    </row>
    <row r="61" spans="1:48" ht="50.25" customHeight="1">
      <c r="A61" s="820"/>
      <c r="B61" s="91" t="s">
        <v>229</v>
      </c>
      <c r="C61" s="51" t="s">
        <v>228</v>
      </c>
      <c r="D61" s="50" t="s">
        <v>91</v>
      </c>
      <c r="E61" s="33" t="s">
        <v>442</v>
      </c>
      <c r="F61" s="414"/>
      <c r="G61" s="414"/>
      <c r="H61" s="414"/>
      <c r="I61" s="414"/>
      <c r="J61" s="33" t="s">
        <v>442</v>
      </c>
      <c r="K61" s="33"/>
      <c r="L61" s="33"/>
      <c r="M61" s="33"/>
      <c r="N61" s="33"/>
      <c r="O61" s="33">
        <v>2000</v>
      </c>
      <c r="P61" s="34"/>
      <c r="Q61" s="35"/>
      <c r="R61" s="35"/>
      <c r="S61" s="27">
        <v>2000</v>
      </c>
      <c r="T61" s="781">
        <f t="shared" si="7"/>
        <v>0</v>
      </c>
      <c r="U61" s="782"/>
      <c r="V61" s="770" t="s">
        <v>92</v>
      </c>
      <c r="W61" s="33">
        <v>2000</v>
      </c>
      <c r="X61" s="413" t="s">
        <v>442</v>
      </c>
      <c r="Y61" s="414"/>
      <c r="Z61" s="414"/>
      <c r="AA61" s="414"/>
      <c r="AB61" s="414"/>
      <c r="AC61" s="414"/>
      <c r="AD61" s="33">
        <v>2000</v>
      </c>
      <c r="AE61" s="34"/>
      <c r="AF61" s="35"/>
      <c r="AG61" s="35"/>
      <c r="AH61" s="27">
        <v>2000</v>
      </c>
      <c r="AI61" s="118"/>
      <c r="AJ61" s="155"/>
      <c r="AK61" s="142" t="s">
        <v>92</v>
      </c>
      <c r="AL61" s="66" t="s">
        <v>425</v>
      </c>
      <c r="AM61" s="128">
        <f t="shared" si="8"/>
        <v>0</v>
      </c>
      <c r="AS61" s="25"/>
      <c r="AT61" s="25"/>
      <c r="AU61" s="210">
        <f t="shared" si="14"/>
        <v>0</v>
      </c>
      <c r="AV61" s="207" t="str">
        <f t="shared" si="9"/>
        <v>OK</v>
      </c>
    </row>
    <row r="62" spans="1:48" ht="49.5" customHeight="1">
      <c r="A62" s="99"/>
      <c r="B62" s="91"/>
      <c r="C62" s="50"/>
      <c r="D62" s="50" t="s">
        <v>601</v>
      </c>
      <c r="E62" s="33">
        <v>17903</v>
      </c>
      <c r="F62" s="414"/>
      <c r="G62" s="414"/>
      <c r="H62" s="414"/>
      <c r="I62" s="414"/>
      <c r="J62" s="33">
        <v>13960</v>
      </c>
      <c r="K62" s="33"/>
      <c r="L62" s="33"/>
      <c r="M62" s="33"/>
      <c r="N62" s="33"/>
      <c r="O62" s="33">
        <v>-750</v>
      </c>
      <c r="P62" s="34"/>
      <c r="Q62" s="35"/>
      <c r="R62" s="35"/>
      <c r="S62" s="27">
        <v>-750</v>
      </c>
      <c r="T62" s="781">
        <f t="shared" si="7"/>
        <v>0</v>
      </c>
      <c r="U62" s="782"/>
      <c r="V62" s="770" t="s">
        <v>256</v>
      </c>
      <c r="W62" s="33">
        <v>-750</v>
      </c>
      <c r="X62" s="413">
        <v>12505</v>
      </c>
      <c r="Y62" s="414"/>
      <c r="Z62" s="414"/>
      <c r="AA62" s="414"/>
      <c r="AB62" s="414"/>
      <c r="AC62" s="414"/>
      <c r="AD62" s="33">
        <v>-1050</v>
      </c>
      <c r="AE62" s="34"/>
      <c r="AF62" s="35"/>
      <c r="AG62" s="35"/>
      <c r="AH62" s="27">
        <v>-750</v>
      </c>
      <c r="AI62" s="118"/>
      <c r="AJ62" s="155"/>
      <c r="AK62" s="142" t="s">
        <v>256</v>
      </c>
      <c r="AL62" s="66" t="s">
        <v>421</v>
      </c>
      <c r="AM62" s="128">
        <f t="shared" si="8"/>
        <v>0</v>
      </c>
      <c r="AU62" s="210">
        <f t="shared" si="14"/>
        <v>0</v>
      </c>
      <c r="AV62" s="207" t="str">
        <f t="shared" si="9"/>
        <v>OK</v>
      </c>
    </row>
    <row r="63" spans="1:48" ht="49.5" customHeight="1">
      <c r="A63" s="99"/>
      <c r="B63" s="91"/>
      <c r="C63" s="51" t="s">
        <v>38</v>
      </c>
      <c r="D63" s="50" t="s">
        <v>189</v>
      </c>
      <c r="E63" s="33">
        <v>62621</v>
      </c>
      <c r="F63" s="414"/>
      <c r="G63" s="414"/>
      <c r="H63" s="414"/>
      <c r="I63" s="414"/>
      <c r="J63" s="33">
        <v>66089</v>
      </c>
      <c r="K63" s="33"/>
      <c r="L63" s="33"/>
      <c r="M63" s="33"/>
      <c r="N63" s="33"/>
      <c r="O63" s="33">
        <v>-66089</v>
      </c>
      <c r="P63" s="34"/>
      <c r="Q63" s="35">
        <v>-66089</v>
      </c>
      <c r="R63" s="35"/>
      <c r="S63" s="27"/>
      <c r="T63" s="781">
        <f t="shared" si="7"/>
        <v>0</v>
      </c>
      <c r="U63" s="782"/>
      <c r="V63" s="770"/>
      <c r="W63" s="33">
        <v>-62621</v>
      </c>
      <c r="X63" s="413">
        <v>49423</v>
      </c>
      <c r="Y63" s="414"/>
      <c r="Z63" s="414"/>
      <c r="AA63" s="414"/>
      <c r="AB63" s="414"/>
      <c r="AC63" s="414"/>
      <c r="AD63" s="33">
        <v>-49423</v>
      </c>
      <c r="AE63" s="34"/>
      <c r="AF63" s="35">
        <v>-62621</v>
      </c>
      <c r="AG63" s="35"/>
      <c r="AH63" s="27"/>
      <c r="AI63" s="118"/>
      <c r="AJ63" s="155"/>
      <c r="AK63" s="142"/>
      <c r="AL63" s="66" t="s">
        <v>421</v>
      </c>
      <c r="AM63" s="128">
        <f t="shared" si="8"/>
        <v>0</v>
      </c>
      <c r="AS63" s="35">
        <v>-66089</v>
      </c>
      <c r="AU63" s="210">
        <f t="shared" si="14"/>
        <v>-66089</v>
      </c>
      <c r="AV63" s="207" t="str">
        <f t="shared" si="9"/>
        <v>OK</v>
      </c>
    </row>
    <row r="64" spans="1:48" ht="78" customHeight="1" thickBot="1">
      <c r="A64" s="99"/>
      <c r="B64" s="639" t="s">
        <v>838</v>
      </c>
      <c r="C64" s="138" t="s">
        <v>698</v>
      </c>
      <c r="D64" s="56"/>
      <c r="E64" s="42">
        <v>65421</v>
      </c>
      <c r="F64" s="418"/>
      <c r="G64" s="418"/>
      <c r="H64" s="418"/>
      <c r="I64" s="418"/>
      <c r="J64" s="42">
        <v>65421</v>
      </c>
      <c r="K64" s="42"/>
      <c r="L64" s="42"/>
      <c r="M64" s="42"/>
      <c r="N64" s="42"/>
      <c r="O64" s="42">
        <v>-58617</v>
      </c>
      <c r="P64" s="43"/>
      <c r="Q64" s="44"/>
      <c r="R64" s="44"/>
      <c r="S64" s="45">
        <v>-58617</v>
      </c>
      <c r="T64" s="781">
        <f t="shared" si="7"/>
        <v>0</v>
      </c>
      <c r="U64" s="782"/>
      <c r="V64" s="773" t="s">
        <v>792</v>
      </c>
      <c r="W64" s="42">
        <v>-58617</v>
      </c>
      <c r="X64" s="417">
        <v>65421</v>
      </c>
      <c r="Y64" s="418"/>
      <c r="Z64" s="418"/>
      <c r="AA64" s="418"/>
      <c r="AB64" s="418"/>
      <c r="AC64" s="418"/>
      <c r="AD64" s="42">
        <v>-58617</v>
      </c>
      <c r="AE64" s="43"/>
      <c r="AF64" s="44"/>
      <c r="AG64" s="44"/>
      <c r="AH64" s="45">
        <v>-58617</v>
      </c>
      <c r="AI64" s="62"/>
      <c r="AJ64" s="150"/>
      <c r="AK64" s="143" t="s">
        <v>792</v>
      </c>
      <c r="AL64" s="66" t="s">
        <v>421</v>
      </c>
      <c r="AM64" s="128">
        <f t="shared" si="8"/>
        <v>0</v>
      </c>
      <c r="AU64" s="210">
        <f t="shared" si="14"/>
        <v>0</v>
      </c>
      <c r="AV64" s="207" t="str">
        <f t="shared" si="9"/>
        <v>OK</v>
      </c>
    </row>
    <row r="65" spans="1:48" ht="31.5" customHeight="1" thickBot="1">
      <c r="A65" s="100"/>
      <c r="B65" s="96"/>
      <c r="C65" s="63"/>
      <c r="D65" s="57" t="s">
        <v>403</v>
      </c>
      <c r="E65" s="59">
        <f aca="true" t="shared" si="15" ref="E65:J65">SUM(E60:E64)</f>
        <v>161051</v>
      </c>
      <c r="F65" s="373">
        <f t="shared" si="15"/>
        <v>0</v>
      </c>
      <c r="G65" s="373">
        <f t="shared" si="15"/>
        <v>0</v>
      </c>
      <c r="H65" s="373">
        <f t="shared" si="15"/>
        <v>0</v>
      </c>
      <c r="I65" s="373">
        <f t="shared" si="15"/>
        <v>0</v>
      </c>
      <c r="J65" s="59">
        <f t="shared" si="15"/>
        <v>158324</v>
      </c>
      <c r="K65" s="59"/>
      <c r="L65" s="59"/>
      <c r="M65" s="59"/>
      <c r="N65" s="59"/>
      <c r="O65" s="59">
        <f>SUM(O60:O64)</f>
        <v>-136310</v>
      </c>
      <c r="P65" s="60">
        <f>SUM(P60:P64)</f>
        <v>0</v>
      </c>
      <c r="Q65" s="61">
        <f>SUM(Q60:Q64)</f>
        <v>-66089</v>
      </c>
      <c r="R65" s="61">
        <f>SUM(R60:R64)</f>
        <v>0</v>
      </c>
      <c r="S65" s="64">
        <f>SUM(S60:S64)</f>
        <v>-70221</v>
      </c>
      <c r="T65" s="781">
        <f t="shared" si="7"/>
        <v>0</v>
      </c>
      <c r="U65" s="782"/>
      <c r="V65" s="590"/>
      <c r="W65" s="59">
        <f aca="true" t="shared" si="16" ref="W65:AH65">SUM(W60:W64)</f>
        <v>-135094</v>
      </c>
      <c r="X65" s="422">
        <f t="shared" si="16"/>
        <v>139675</v>
      </c>
      <c r="Y65" s="373">
        <f t="shared" si="16"/>
        <v>0</v>
      </c>
      <c r="Z65" s="373">
        <f t="shared" si="16"/>
        <v>0</v>
      </c>
      <c r="AA65" s="373">
        <f t="shared" si="16"/>
        <v>0</v>
      </c>
      <c r="AB65" s="373">
        <f t="shared" si="16"/>
        <v>0</v>
      </c>
      <c r="AC65" s="373">
        <f t="shared" si="16"/>
        <v>0</v>
      </c>
      <c r="AD65" s="59">
        <f t="shared" si="16"/>
        <v>-118090</v>
      </c>
      <c r="AE65" s="60">
        <f t="shared" si="16"/>
        <v>0</v>
      </c>
      <c r="AF65" s="61">
        <f t="shared" si="16"/>
        <v>-62621</v>
      </c>
      <c r="AG65" s="61">
        <f t="shared" si="16"/>
        <v>0</v>
      </c>
      <c r="AH65" s="64">
        <f t="shared" si="16"/>
        <v>-72473</v>
      </c>
      <c r="AI65" s="68"/>
      <c r="AJ65" s="64"/>
      <c r="AK65" s="144"/>
      <c r="AM65" s="128">
        <f t="shared" si="8"/>
        <v>0</v>
      </c>
      <c r="AO65" s="128">
        <f aca="true" t="shared" si="17" ref="AO65:AT65">SUM(AO60:AO64)</f>
        <v>0</v>
      </c>
      <c r="AP65" s="128">
        <f t="shared" si="17"/>
        <v>0</v>
      </c>
      <c r="AQ65" s="128">
        <f t="shared" si="17"/>
        <v>0</v>
      </c>
      <c r="AR65" s="128">
        <f t="shared" si="17"/>
        <v>0</v>
      </c>
      <c r="AS65" s="128">
        <f t="shared" si="17"/>
        <v>-66089</v>
      </c>
      <c r="AT65" s="128">
        <f t="shared" si="17"/>
        <v>0</v>
      </c>
      <c r="AU65" s="210">
        <f t="shared" si="14"/>
        <v>-66089</v>
      </c>
      <c r="AV65" s="207" t="str">
        <f t="shared" si="9"/>
        <v>OK</v>
      </c>
    </row>
    <row r="66" spans="1:48" ht="55.5" customHeight="1">
      <c r="A66" s="819" t="s">
        <v>406</v>
      </c>
      <c r="B66" s="98" t="s">
        <v>832</v>
      </c>
      <c r="C66" s="180" t="s">
        <v>833</v>
      </c>
      <c r="D66" s="180"/>
      <c r="E66" s="230">
        <v>120212</v>
      </c>
      <c r="F66" s="421">
        <v>21259</v>
      </c>
      <c r="G66" s="421">
        <v>11</v>
      </c>
      <c r="H66" s="421"/>
      <c r="I66" s="421">
        <v>98942</v>
      </c>
      <c r="J66" s="230">
        <v>111835</v>
      </c>
      <c r="K66" s="230"/>
      <c r="L66" s="230"/>
      <c r="M66" s="230"/>
      <c r="N66" s="230"/>
      <c r="O66" s="230">
        <v>30000</v>
      </c>
      <c r="P66" s="193"/>
      <c r="Q66" s="206"/>
      <c r="R66" s="206"/>
      <c r="S66" s="194">
        <v>30000</v>
      </c>
      <c r="T66" s="781">
        <f t="shared" si="7"/>
        <v>0</v>
      </c>
      <c r="U66" s="782"/>
      <c r="V66" s="769" t="s">
        <v>190</v>
      </c>
      <c r="W66" s="230">
        <v>21625</v>
      </c>
      <c r="X66" s="420">
        <v>127503</v>
      </c>
      <c r="Y66" s="421"/>
      <c r="Z66" s="421"/>
      <c r="AA66" s="421"/>
      <c r="AB66" s="421"/>
      <c r="AC66" s="421"/>
      <c r="AD66" s="230">
        <v>14334</v>
      </c>
      <c r="AE66" s="193"/>
      <c r="AF66" s="206"/>
      <c r="AG66" s="206"/>
      <c r="AH66" s="194">
        <v>21625</v>
      </c>
      <c r="AI66" s="139"/>
      <c r="AJ66" s="173"/>
      <c r="AK66" s="126" t="s">
        <v>190</v>
      </c>
      <c r="AL66" s="66" t="s">
        <v>425</v>
      </c>
      <c r="AM66" s="128">
        <f t="shared" si="8"/>
        <v>0</v>
      </c>
      <c r="AO66" s="62"/>
      <c r="AP66" s="62"/>
      <c r="AQ66" s="62"/>
      <c r="AR66" s="62"/>
      <c r="AS66" s="62"/>
      <c r="AT66" s="62"/>
      <c r="AU66" s="210">
        <f t="shared" si="14"/>
        <v>0</v>
      </c>
      <c r="AV66" s="207" t="str">
        <f t="shared" si="9"/>
        <v>OK</v>
      </c>
    </row>
    <row r="67" spans="1:48" ht="55.5" customHeight="1">
      <c r="A67" s="820"/>
      <c r="B67" s="92"/>
      <c r="C67" s="50" t="s">
        <v>834</v>
      </c>
      <c r="D67" s="50"/>
      <c r="E67" s="33">
        <v>4548</v>
      </c>
      <c r="F67" s="414">
        <v>1232</v>
      </c>
      <c r="G67" s="414"/>
      <c r="H67" s="414"/>
      <c r="I67" s="414">
        <v>3316</v>
      </c>
      <c r="J67" s="33">
        <v>4017</v>
      </c>
      <c r="K67" s="33"/>
      <c r="L67" s="33"/>
      <c r="M67" s="33"/>
      <c r="N67" s="33"/>
      <c r="O67" s="33">
        <v>1000</v>
      </c>
      <c r="P67" s="34"/>
      <c r="Q67" s="35"/>
      <c r="R67" s="35"/>
      <c r="S67" s="27">
        <v>1000</v>
      </c>
      <c r="T67" s="781">
        <f t="shared" si="7"/>
        <v>0</v>
      </c>
      <c r="U67" s="782"/>
      <c r="V67" s="770" t="s">
        <v>760</v>
      </c>
      <c r="W67" s="33">
        <v>1000</v>
      </c>
      <c r="X67" s="413">
        <v>4916</v>
      </c>
      <c r="Y67" s="414"/>
      <c r="Z67" s="414"/>
      <c r="AA67" s="414"/>
      <c r="AB67" s="414"/>
      <c r="AC67" s="414"/>
      <c r="AD67" s="33">
        <v>1000</v>
      </c>
      <c r="AE67" s="34"/>
      <c r="AF67" s="35"/>
      <c r="AG67" s="35"/>
      <c r="AH67" s="27">
        <v>1000</v>
      </c>
      <c r="AI67" s="118"/>
      <c r="AJ67" s="155"/>
      <c r="AK67" s="142" t="s">
        <v>760</v>
      </c>
      <c r="AL67" s="66" t="s">
        <v>425</v>
      </c>
      <c r="AM67" s="128">
        <f t="shared" si="8"/>
        <v>0</v>
      </c>
      <c r="AO67" s="62"/>
      <c r="AP67" s="62"/>
      <c r="AQ67" s="62"/>
      <c r="AR67" s="62"/>
      <c r="AS67" s="62"/>
      <c r="AT67" s="62"/>
      <c r="AU67" s="210">
        <f t="shared" si="14"/>
        <v>0</v>
      </c>
      <c r="AV67" s="207" t="str">
        <f aca="true" t="shared" si="18" ref="AV67:AV97">IF(Q67=AU67,"OK","OUT")</f>
        <v>OK</v>
      </c>
    </row>
    <row r="68" spans="1:48" ht="55.5" customHeight="1">
      <c r="A68" s="820"/>
      <c r="B68" s="91" t="s">
        <v>738</v>
      </c>
      <c r="C68" s="50" t="s">
        <v>739</v>
      </c>
      <c r="D68" s="50" t="s">
        <v>191</v>
      </c>
      <c r="E68" s="33">
        <v>54592</v>
      </c>
      <c r="F68" s="414"/>
      <c r="G68" s="414"/>
      <c r="H68" s="414"/>
      <c r="I68" s="414"/>
      <c r="J68" s="33">
        <v>49952</v>
      </c>
      <c r="K68" s="33"/>
      <c r="L68" s="33"/>
      <c r="M68" s="33"/>
      <c r="N68" s="33"/>
      <c r="O68" s="33">
        <v>-24976</v>
      </c>
      <c r="P68" s="34"/>
      <c r="Q68" s="35"/>
      <c r="R68" s="35"/>
      <c r="S68" s="27">
        <f>O68</f>
        <v>-24976</v>
      </c>
      <c r="T68" s="781">
        <f t="shared" si="7"/>
        <v>0</v>
      </c>
      <c r="U68" s="782"/>
      <c r="V68" s="770" t="s">
        <v>192</v>
      </c>
      <c r="W68" s="33">
        <v>-27296</v>
      </c>
      <c r="X68" s="413">
        <v>55019</v>
      </c>
      <c r="Y68" s="414"/>
      <c r="Z68" s="414"/>
      <c r="AA68" s="414"/>
      <c r="AB68" s="414"/>
      <c r="AC68" s="414"/>
      <c r="AD68" s="33">
        <v>-55019</v>
      </c>
      <c r="AE68" s="34"/>
      <c r="AF68" s="35"/>
      <c r="AG68" s="35"/>
      <c r="AH68" s="27">
        <v>-27296</v>
      </c>
      <c r="AI68" s="118"/>
      <c r="AJ68" s="155"/>
      <c r="AK68" s="142" t="s">
        <v>192</v>
      </c>
      <c r="AL68" s="66" t="s">
        <v>421</v>
      </c>
      <c r="AM68" s="128">
        <f t="shared" si="8"/>
        <v>0</v>
      </c>
      <c r="AU68" s="210">
        <f t="shared" si="14"/>
        <v>0</v>
      </c>
      <c r="AV68" s="207" t="str">
        <f t="shared" si="18"/>
        <v>OK</v>
      </c>
    </row>
    <row r="69" spans="1:48" ht="55.5" customHeight="1">
      <c r="A69" s="434"/>
      <c r="B69" s="93" t="s">
        <v>473</v>
      </c>
      <c r="C69" s="50" t="s">
        <v>474</v>
      </c>
      <c r="D69" s="50" t="s">
        <v>475</v>
      </c>
      <c r="E69" s="33" t="s">
        <v>442</v>
      </c>
      <c r="F69" s="414"/>
      <c r="G69" s="414"/>
      <c r="H69" s="414"/>
      <c r="I69" s="414"/>
      <c r="J69" s="33" t="s">
        <v>442</v>
      </c>
      <c r="K69" s="33"/>
      <c r="L69" s="33"/>
      <c r="M69" s="33"/>
      <c r="N69" s="33"/>
      <c r="O69" s="33">
        <v>10721</v>
      </c>
      <c r="P69" s="34"/>
      <c r="Q69" s="35"/>
      <c r="R69" s="35"/>
      <c r="S69" s="27">
        <v>10721</v>
      </c>
      <c r="T69" s="781">
        <f t="shared" si="7"/>
        <v>0</v>
      </c>
      <c r="U69" s="782"/>
      <c r="V69" s="770" t="s">
        <v>254</v>
      </c>
      <c r="W69" s="33">
        <v>10721</v>
      </c>
      <c r="X69" s="413"/>
      <c r="Y69" s="414"/>
      <c r="Z69" s="414"/>
      <c r="AA69" s="414"/>
      <c r="AB69" s="414"/>
      <c r="AC69" s="414"/>
      <c r="AD69" s="33"/>
      <c r="AE69" s="34"/>
      <c r="AF69" s="35"/>
      <c r="AG69" s="35"/>
      <c r="AH69" s="27">
        <v>10721</v>
      </c>
      <c r="AI69" s="118"/>
      <c r="AJ69" s="155"/>
      <c r="AK69" s="142" t="s">
        <v>254</v>
      </c>
      <c r="AL69" s="66" t="s">
        <v>425</v>
      </c>
      <c r="AM69" s="128">
        <f t="shared" si="8"/>
        <v>0</v>
      </c>
      <c r="AU69" s="210"/>
      <c r="AV69" s="207" t="str">
        <f t="shared" si="18"/>
        <v>OK</v>
      </c>
    </row>
    <row r="70" spans="1:48" ht="45" customHeight="1">
      <c r="A70" s="99"/>
      <c r="B70" s="90" t="s">
        <v>716</v>
      </c>
      <c r="C70" s="50" t="s">
        <v>146</v>
      </c>
      <c r="D70" s="50"/>
      <c r="E70" s="33">
        <v>3925712</v>
      </c>
      <c r="F70" s="424"/>
      <c r="G70" s="424">
        <v>1523448</v>
      </c>
      <c r="H70" s="492">
        <v>2400000</v>
      </c>
      <c r="I70" s="492">
        <v>2264</v>
      </c>
      <c r="J70" s="33">
        <v>3458908</v>
      </c>
      <c r="K70" s="33"/>
      <c r="L70" s="33"/>
      <c r="M70" s="33"/>
      <c r="N70" s="33"/>
      <c r="O70" s="33">
        <v>-3458908</v>
      </c>
      <c r="P70" s="34"/>
      <c r="Q70" s="35">
        <v>-1316769</v>
      </c>
      <c r="R70" s="35">
        <v>-2141300</v>
      </c>
      <c r="S70" s="27">
        <v>-839</v>
      </c>
      <c r="T70" s="781">
        <f t="shared" si="7"/>
        <v>0</v>
      </c>
      <c r="U70" s="782"/>
      <c r="V70" s="770" t="s">
        <v>155</v>
      </c>
      <c r="W70" s="33">
        <v>-3925712</v>
      </c>
      <c r="X70" s="413">
        <v>4395081</v>
      </c>
      <c r="Y70" s="424">
        <v>0</v>
      </c>
      <c r="Z70" s="424">
        <v>1650720</v>
      </c>
      <c r="AA70" s="424">
        <v>2744000</v>
      </c>
      <c r="AB70" s="424">
        <v>361</v>
      </c>
      <c r="AC70" s="424">
        <f aca="true" t="shared" si="19" ref="AC70:AC95">X70-Y70-Z70-AA70-AB70</f>
        <v>0</v>
      </c>
      <c r="AD70" s="33">
        <f>-X70</f>
        <v>-4395081</v>
      </c>
      <c r="AE70" s="34"/>
      <c r="AF70" s="35">
        <v>-1523448</v>
      </c>
      <c r="AG70" s="35">
        <v>-2400000</v>
      </c>
      <c r="AH70" s="27">
        <v>-2264</v>
      </c>
      <c r="AI70" s="118"/>
      <c r="AJ70" s="155"/>
      <c r="AK70" s="142" t="s">
        <v>155</v>
      </c>
      <c r="AL70" s="66" t="s">
        <v>421</v>
      </c>
      <c r="AM70" s="128">
        <f t="shared" si="8"/>
        <v>0</v>
      </c>
      <c r="AO70" s="35">
        <v>-1316769</v>
      </c>
      <c r="AP70" s="209">
        <v>0</v>
      </c>
      <c r="AQ70" s="208">
        <v>0</v>
      </c>
      <c r="AR70" s="208">
        <v>0</v>
      </c>
      <c r="AS70" s="208">
        <v>0</v>
      </c>
      <c r="AT70" s="208">
        <v>0</v>
      </c>
      <c r="AU70" s="210">
        <f aca="true" t="shared" si="20" ref="AU70:AU101">SUM(AO70:AT70)</f>
        <v>-1316769</v>
      </c>
      <c r="AV70" s="207" t="str">
        <f t="shared" si="18"/>
        <v>OK</v>
      </c>
    </row>
    <row r="71" spans="1:48" ht="42" customHeight="1">
      <c r="A71" s="99"/>
      <c r="B71" s="93" t="s">
        <v>714</v>
      </c>
      <c r="C71" s="38" t="s">
        <v>715</v>
      </c>
      <c r="D71" s="50"/>
      <c r="E71" s="33">
        <v>34218</v>
      </c>
      <c r="F71" s="424">
        <v>14159</v>
      </c>
      <c r="G71" s="424"/>
      <c r="H71" s="492"/>
      <c r="I71" s="492">
        <v>20059</v>
      </c>
      <c r="J71" s="33">
        <v>27104</v>
      </c>
      <c r="K71" s="33">
        <v>7869</v>
      </c>
      <c r="L71" s="33"/>
      <c r="M71" s="33"/>
      <c r="N71" s="33">
        <v>19235</v>
      </c>
      <c r="O71" s="33">
        <v>-8131</v>
      </c>
      <c r="P71" s="34">
        <v>-2361</v>
      </c>
      <c r="Q71" s="35">
        <v>0</v>
      </c>
      <c r="R71" s="35">
        <v>0</v>
      </c>
      <c r="S71" s="27">
        <v>-5770</v>
      </c>
      <c r="T71" s="781">
        <f aca="true" t="shared" si="21" ref="T71:T102">O71-P71-Q71-R71-S71</f>
        <v>0</v>
      </c>
      <c r="U71" s="782"/>
      <c r="V71" s="770" t="s">
        <v>514</v>
      </c>
      <c r="W71" s="33">
        <v>-11406</v>
      </c>
      <c r="X71" s="413">
        <v>36128</v>
      </c>
      <c r="Y71" s="424">
        <v>17807</v>
      </c>
      <c r="Z71" s="424">
        <v>0</v>
      </c>
      <c r="AA71" s="424">
        <v>0</v>
      </c>
      <c r="AB71" s="424">
        <v>18321</v>
      </c>
      <c r="AC71" s="424">
        <f t="shared" si="19"/>
        <v>0</v>
      </c>
      <c r="AD71" s="33">
        <v>-10838</v>
      </c>
      <c r="AE71" s="34">
        <v>-4720</v>
      </c>
      <c r="AF71" s="35"/>
      <c r="AG71" s="35"/>
      <c r="AH71" s="27">
        <v>-6686</v>
      </c>
      <c r="AI71" s="118"/>
      <c r="AJ71" s="155"/>
      <c r="AK71" s="142" t="s">
        <v>514</v>
      </c>
      <c r="AL71" s="66" t="s">
        <v>421</v>
      </c>
      <c r="AM71" s="128">
        <f aca="true" t="shared" si="22" ref="AM71:AM102">W71-AE71-AF71-AG71-AH71</f>
        <v>0</v>
      </c>
      <c r="AO71" s="209">
        <v>0</v>
      </c>
      <c r="AP71" s="209">
        <v>0</v>
      </c>
      <c r="AQ71" s="208">
        <v>0</v>
      </c>
      <c r="AR71" s="208">
        <v>0</v>
      </c>
      <c r="AS71" s="208">
        <v>0</v>
      </c>
      <c r="AT71" s="208">
        <v>0</v>
      </c>
      <c r="AU71" s="210">
        <f t="shared" si="20"/>
        <v>0</v>
      </c>
      <c r="AV71" s="207" t="str">
        <f t="shared" si="18"/>
        <v>OK</v>
      </c>
    </row>
    <row r="72" spans="1:48" ht="42" customHeight="1">
      <c r="A72" s="99"/>
      <c r="B72" s="94" t="s">
        <v>764</v>
      </c>
      <c r="C72" s="38"/>
      <c r="D72" s="50" t="s">
        <v>765</v>
      </c>
      <c r="E72" s="33" t="s">
        <v>442</v>
      </c>
      <c r="F72" s="615"/>
      <c r="G72" s="616"/>
      <c r="H72" s="622"/>
      <c r="I72" s="622"/>
      <c r="J72" s="33" t="s">
        <v>442</v>
      </c>
      <c r="K72" s="33"/>
      <c r="L72" s="33"/>
      <c r="M72" s="33"/>
      <c r="N72" s="33"/>
      <c r="O72" s="33">
        <v>6000</v>
      </c>
      <c r="P72" s="34"/>
      <c r="Q72" s="35"/>
      <c r="R72" s="35"/>
      <c r="S72" s="27">
        <v>6000</v>
      </c>
      <c r="T72" s="781">
        <f t="shared" si="21"/>
        <v>0</v>
      </c>
      <c r="U72" s="782"/>
      <c r="V72" s="770" t="s">
        <v>766</v>
      </c>
      <c r="W72" s="33">
        <v>6000</v>
      </c>
      <c r="X72" s="413" t="s">
        <v>442</v>
      </c>
      <c r="Y72" s="425"/>
      <c r="Z72" s="425"/>
      <c r="AA72" s="425"/>
      <c r="AB72" s="425"/>
      <c r="AC72" s="424" t="e">
        <f t="shared" si="19"/>
        <v>#VALUE!</v>
      </c>
      <c r="AD72" s="33">
        <v>6000</v>
      </c>
      <c r="AE72" s="34"/>
      <c r="AF72" s="35"/>
      <c r="AG72" s="35"/>
      <c r="AH72" s="27">
        <v>6000</v>
      </c>
      <c r="AI72" s="118"/>
      <c r="AJ72" s="155"/>
      <c r="AK72" s="142" t="s">
        <v>766</v>
      </c>
      <c r="AL72" s="66" t="s">
        <v>425</v>
      </c>
      <c r="AM72" s="128">
        <f t="shared" si="22"/>
        <v>0</v>
      </c>
      <c r="AO72" s="48"/>
      <c r="AP72" s="156"/>
      <c r="AQ72" s="156"/>
      <c r="AR72" s="156"/>
      <c r="AS72" s="156"/>
      <c r="AT72" s="156"/>
      <c r="AU72" s="210">
        <f t="shared" si="20"/>
        <v>0</v>
      </c>
      <c r="AV72" s="207" t="str">
        <f t="shared" si="18"/>
        <v>OK</v>
      </c>
    </row>
    <row r="73" spans="1:48" ht="41.25" customHeight="1" thickBot="1">
      <c r="A73" s="99"/>
      <c r="B73" s="90" t="s">
        <v>149</v>
      </c>
      <c r="C73" s="56" t="s">
        <v>150</v>
      </c>
      <c r="D73" s="50" t="s">
        <v>151</v>
      </c>
      <c r="E73" s="33">
        <v>876838</v>
      </c>
      <c r="F73" s="335">
        <v>421174</v>
      </c>
      <c r="G73" s="428">
        <v>84234</v>
      </c>
      <c r="H73" s="490">
        <v>370000</v>
      </c>
      <c r="I73" s="490">
        <v>1430</v>
      </c>
      <c r="J73" s="33">
        <v>902940</v>
      </c>
      <c r="K73" s="33">
        <f>J73/2</f>
        <v>451470</v>
      </c>
      <c r="L73" s="33">
        <f>J73/10</f>
        <v>90294</v>
      </c>
      <c r="M73" s="33"/>
      <c r="N73" s="33">
        <f>J73-K73-L73</f>
        <v>361176</v>
      </c>
      <c r="O73" s="33">
        <v>-451470</v>
      </c>
      <c r="P73" s="34">
        <v>-213750</v>
      </c>
      <c r="Q73" s="35">
        <v>-42750</v>
      </c>
      <c r="R73" s="35">
        <v>-194500</v>
      </c>
      <c r="S73" s="27">
        <v>-470</v>
      </c>
      <c r="T73" s="781">
        <f t="shared" si="21"/>
        <v>0</v>
      </c>
      <c r="U73" s="782"/>
      <c r="V73" s="770" t="s">
        <v>563</v>
      </c>
      <c r="W73" s="33">
        <v>-438419</v>
      </c>
      <c r="X73" s="413">
        <v>903203</v>
      </c>
      <c r="Y73" s="424">
        <v>447052</v>
      </c>
      <c r="Z73" s="424">
        <v>89412</v>
      </c>
      <c r="AA73" s="424">
        <v>355500</v>
      </c>
      <c r="AB73" s="424">
        <v>11239</v>
      </c>
      <c r="AC73" s="424">
        <f t="shared" si="19"/>
        <v>0</v>
      </c>
      <c r="AD73" s="33">
        <v>-451602</v>
      </c>
      <c r="AE73" s="34">
        <v>-210587</v>
      </c>
      <c r="AF73" s="35">
        <v>-42117</v>
      </c>
      <c r="AG73" s="35">
        <v>-185000</v>
      </c>
      <c r="AH73" s="27">
        <v>-715</v>
      </c>
      <c r="AI73" s="118"/>
      <c r="AJ73" s="155"/>
      <c r="AK73" s="142" t="s">
        <v>78</v>
      </c>
      <c r="AL73" s="66" t="s">
        <v>421</v>
      </c>
      <c r="AM73" s="128">
        <f t="shared" si="22"/>
        <v>0</v>
      </c>
      <c r="AO73" s="35">
        <v>-42750</v>
      </c>
      <c r="AP73" s="209">
        <v>0</v>
      </c>
      <c r="AQ73" s="209">
        <v>0</v>
      </c>
      <c r="AR73" s="209">
        <v>0</v>
      </c>
      <c r="AS73" s="209">
        <v>0</v>
      </c>
      <c r="AT73" s="209">
        <v>0</v>
      </c>
      <c r="AU73" s="210">
        <f t="shared" si="20"/>
        <v>-42750</v>
      </c>
      <c r="AV73" s="207" t="str">
        <f t="shared" si="18"/>
        <v>OK</v>
      </c>
    </row>
    <row r="74" spans="1:48" ht="31.5" customHeight="1" thickBot="1">
      <c r="A74" s="95"/>
      <c r="B74" s="96"/>
      <c r="C74" s="57"/>
      <c r="D74" s="57" t="s">
        <v>403</v>
      </c>
      <c r="E74" s="59">
        <f aca="true" t="shared" si="23" ref="E74:AB74">SUM(E66:E73)</f>
        <v>5016120</v>
      </c>
      <c r="F74" s="373">
        <f t="shared" si="23"/>
        <v>457824</v>
      </c>
      <c r="G74" s="373">
        <f t="shared" si="23"/>
        <v>1607693</v>
      </c>
      <c r="H74" s="373">
        <f t="shared" si="23"/>
        <v>2770000</v>
      </c>
      <c r="I74" s="373">
        <f t="shared" si="23"/>
        <v>126011</v>
      </c>
      <c r="J74" s="59">
        <f t="shared" si="23"/>
        <v>4554756</v>
      </c>
      <c r="K74" s="59"/>
      <c r="L74" s="59"/>
      <c r="M74" s="59"/>
      <c r="N74" s="59"/>
      <c r="O74" s="59">
        <f>SUM(O66:O73)</f>
        <v>-3895764</v>
      </c>
      <c r="P74" s="60">
        <f>SUM(P66:P73)</f>
        <v>-216111</v>
      </c>
      <c r="Q74" s="61">
        <f>SUM(Q66:Q73)</f>
        <v>-1359519</v>
      </c>
      <c r="R74" s="61">
        <f>SUM(R66:R73)</f>
        <v>-2335800</v>
      </c>
      <c r="S74" s="64">
        <f>SUM(S66:S73)</f>
        <v>15666</v>
      </c>
      <c r="T74" s="781">
        <f t="shared" si="21"/>
        <v>0</v>
      </c>
      <c r="U74" s="782"/>
      <c r="V74" s="590"/>
      <c r="W74" s="59">
        <f t="shared" si="23"/>
        <v>-4363487</v>
      </c>
      <c r="X74" s="422">
        <f t="shared" si="23"/>
        <v>5521850</v>
      </c>
      <c r="Y74" s="373">
        <f t="shared" si="23"/>
        <v>464859</v>
      </c>
      <c r="Z74" s="373">
        <f t="shared" si="23"/>
        <v>1740132</v>
      </c>
      <c r="AA74" s="373">
        <f t="shared" si="23"/>
        <v>3099500</v>
      </c>
      <c r="AB74" s="373">
        <f t="shared" si="23"/>
        <v>29921</v>
      </c>
      <c r="AC74" s="424">
        <f t="shared" si="19"/>
        <v>187438</v>
      </c>
      <c r="AD74" s="59">
        <f>SUM(AD66:AD73)</f>
        <v>-4891206</v>
      </c>
      <c r="AE74" s="60">
        <f>SUM(AE66:AE73)</f>
        <v>-215307</v>
      </c>
      <c r="AF74" s="61">
        <f>SUM(AF66:AF73)</f>
        <v>-1565565</v>
      </c>
      <c r="AG74" s="61">
        <f>SUM(AG66:AG73)</f>
        <v>-2585000</v>
      </c>
      <c r="AH74" s="64">
        <f>SUM(AH66:AH73)</f>
        <v>2385</v>
      </c>
      <c r="AI74" s="68"/>
      <c r="AJ74" s="64"/>
      <c r="AK74" s="144"/>
      <c r="AM74" s="128">
        <f t="shared" si="22"/>
        <v>0</v>
      </c>
      <c r="AO74" s="97">
        <f aca="true" t="shared" si="24" ref="AO74:AT74">SUM(AO68:AO73)</f>
        <v>-1359519</v>
      </c>
      <c r="AP74" s="97">
        <f t="shared" si="24"/>
        <v>0</v>
      </c>
      <c r="AQ74" s="97">
        <f t="shared" si="24"/>
        <v>0</v>
      </c>
      <c r="AR74" s="97">
        <f t="shared" si="24"/>
        <v>0</v>
      </c>
      <c r="AS74" s="97">
        <f t="shared" si="24"/>
        <v>0</v>
      </c>
      <c r="AT74" s="97">
        <f t="shared" si="24"/>
        <v>0</v>
      </c>
      <c r="AU74" s="210">
        <f t="shared" si="20"/>
        <v>-1359519</v>
      </c>
      <c r="AV74" s="207" t="str">
        <f t="shared" si="18"/>
        <v>OK</v>
      </c>
    </row>
    <row r="75" spans="1:48" ht="51.75" customHeight="1">
      <c r="A75" s="88" t="s">
        <v>169</v>
      </c>
      <c r="B75" s="98" t="s">
        <v>170</v>
      </c>
      <c r="C75" s="51" t="s">
        <v>557</v>
      </c>
      <c r="D75" s="38" t="s">
        <v>779</v>
      </c>
      <c r="E75" s="26">
        <v>2933416</v>
      </c>
      <c r="F75" s="416"/>
      <c r="G75" s="416"/>
      <c r="H75" s="416"/>
      <c r="I75" s="416">
        <v>2939216</v>
      </c>
      <c r="J75" s="26">
        <v>2897484</v>
      </c>
      <c r="K75" s="26"/>
      <c r="L75" s="26"/>
      <c r="M75" s="26"/>
      <c r="N75" s="26"/>
      <c r="O75" s="26">
        <f>-J75/2</f>
        <v>-1448742</v>
      </c>
      <c r="P75" s="47"/>
      <c r="Q75" s="48"/>
      <c r="R75" s="48"/>
      <c r="S75" s="49">
        <f>O75</f>
        <v>-1448742</v>
      </c>
      <c r="T75" s="781">
        <f t="shared" si="21"/>
        <v>0</v>
      </c>
      <c r="U75" s="782"/>
      <c r="V75" s="771" t="s">
        <v>54</v>
      </c>
      <c r="W75" s="26">
        <v>-1469608</v>
      </c>
      <c r="X75" s="415">
        <v>3094705</v>
      </c>
      <c r="Y75" s="416"/>
      <c r="Z75" s="416"/>
      <c r="AA75" s="416"/>
      <c r="AB75" s="416"/>
      <c r="AC75" s="424">
        <f t="shared" si="19"/>
        <v>3094705</v>
      </c>
      <c r="AD75" s="26">
        <v>-1547000</v>
      </c>
      <c r="AE75" s="47"/>
      <c r="AF75" s="48"/>
      <c r="AG75" s="48"/>
      <c r="AH75" s="49">
        <v>-1469608</v>
      </c>
      <c r="AI75" s="119"/>
      <c r="AJ75" s="149"/>
      <c r="AK75" s="129" t="s">
        <v>54</v>
      </c>
      <c r="AL75" s="66" t="s">
        <v>421</v>
      </c>
      <c r="AM75" s="128">
        <f t="shared" si="22"/>
        <v>0</v>
      </c>
      <c r="AP75" s="25"/>
      <c r="AU75" s="210">
        <f t="shared" si="20"/>
        <v>0</v>
      </c>
      <c r="AV75" s="207" t="str">
        <f t="shared" si="18"/>
        <v>OK</v>
      </c>
    </row>
    <row r="76" spans="1:48" ht="31.5" customHeight="1" thickBot="1">
      <c r="A76" s="89"/>
      <c r="B76" s="90" t="s">
        <v>768</v>
      </c>
      <c r="C76" s="51" t="s">
        <v>769</v>
      </c>
      <c r="D76" s="38" t="s">
        <v>770</v>
      </c>
      <c r="E76" s="26" t="s">
        <v>442</v>
      </c>
      <c r="F76" s="416"/>
      <c r="G76" s="416"/>
      <c r="H76" s="416"/>
      <c r="I76" s="416"/>
      <c r="J76" s="26" t="s">
        <v>442</v>
      </c>
      <c r="K76" s="26"/>
      <c r="L76" s="26"/>
      <c r="M76" s="26"/>
      <c r="N76" s="26"/>
      <c r="O76" s="26">
        <v>5000</v>
      </c>
      <c r="P76" s="47"/>
      <c r="Q76" s="48"/>
      <c r="R76" s="48"/>
      <c r="S76" s="49">
        <v>5000</v>
      </c>
      <c r="T76" s="781">
        <f t="shared" si="21"/>
        <v>0</v>
      </c>
      <c r="U76" s="782"/>
      <c r="V76" s="771"/>
      <c r="W76" s="26">
        <v>5000</v>
      </c>
      <c r="X76" s="415" t="s">
        <v>442</v>
      </c>
      <c r="Y76" s="416"/>
      <c r="Z76" s="416"/>
      <c r="AA76" s="416"/>
      <c r="AB76" s="416"/>
      <c r="AC76" s="424" t="e">
        <f t="shared" si="19"/>
        <v>#VALUE!</v>
      </c>
      <c r="AD76" s="26">
        <v>5000</v>
      </c>
      <c r="AE76" s="47"/>
      <c r="AF76" s="48"/>
      <c r="AG76" s="48"/>
      <c r="AH76" s="49">
        <v>5000</v>
      </c>
      <c r="AI76" s="119"/>
      <c r="AJ76" s="149"/>
      <c r="AK76" s="129"/>
      <c r="AL76" s="66" t="s">
        <v>771</v>
      </c>
      <c r="AM76" s="128">
        <f t="shared" si="22"/>
        <v>0</v>
      </c>
      <c r="AU76" s="210">
        <f t="shared" si="20"/>
        <v>0</v>
      </c>
      <c r="AV76" s="207" t="str">
        <f t="shared" si="18"/>
        <v>OK</v>
      </c>
    </row>
    <row r="77" spans="1:48" ht="38.25" customHeight="1" thickBot="1">
      <c r="A77" s="89"/>
      <c r="B77" s="91"/>
      <c r="C77" s="51" t="s">
        <v>383</v>
      </c>
      <c r="D77" s="38"/>
      <c r="E77" s="33">
        <v>282190</v>
      </c>
      <c r="F77" s="374"/>
      <c r="G77" s="374">
        <v>6076</v>
      </c>
      <c r="H77" s="623"/>
      <c r="I77" s="623">
        <v>276114</v>
      </c>
      <c r="J77" s="33">
        <v>252623</v>
      </c>
      <c r="K77" s="33"/>
      <c r="L77" s="33">
        <v>4838</v>
      </c>
      <c r="M77" s="33"/>
      <c r="N77" s="33">
        <v>247785</v>
      </c>
      <c r="O77" s="33">
        <v>-101049</v>
      </c>
      <c r="P77" s="47"/>
      <c r="Q77" s="48">
        <v>-1935</v>
      </c>
      <c r="R77" s="48"/>
      <c r="S77" s="49">
        <v>-99114</v>
      </c>
      <c r="T77" s="781">
        <f t="shared" si="21"/>
        <v>0</v>
      </c>
      <c r="U77" s="782"/>
      <c r="V77" s="771" t="s">
        <v>16</v>
      </c>
      <c r="W77" s="33">
        <v>-112876</v>
      </c>
      <c r="X77" s="415">
        <v>291348</v>
      </c>
      <c r="Y77" s="374"/>
      <c r="Z77" s="374">
        <v>4116</v>
      </c>
      <c r="AA77" s="374"/>
      <c r="AB77" s="374">
        <v>287232</v>
      </c>
      <c r="AC77" s="424">
        <f t="shared" si="19"/>
        <v>0</v>
      </c>
      <c r="AD77" s="33">
        <v>-116539</v>
      </c>
      <c r="AE77" s="47"/>
      <c r="AF77" s="48">
        <v>-2430</v>
      </c>
      <c r="AG77" s="48"/>
      <c r="AH77" s="49">
        <v>-110446</v>
      </c>
      <c r="AI77" s="119"/>
      <c r="AJ77" s="149"/>
      <c r="AK77" s="129" t="s">
        <v>16</v>
      </c>
      <c r="AL77" s="66" t="s">
        <v>421</v>
      </c>
      <c r="AM77" s="128">
        <f t="shared" si="22"/>
        <v>0</v>
      </c>
      <c r="AO77" s="66">
        <v>0</v>
      </c>
      <c r="AP77" s="35">
        <v>-873</v>
      </c>
      <c r="AQ77" s="66">
        <v>0</v>
      </c>
      <c r="AR77" s="66">
        <v>0</v>
      </c>
      <c r="AS77" s="66">
        <v>0</v>
      </c>
      <c r="AT77" s="35">
        <v>-1062</v>
      </c>
      <c r="AU77" s="210">
        <f t="shared" si="20"/>
        <v>-1935</v>
      </c>
      <c r="AV77" s="207" t="str">
        <f t="shared" si="18"/>
        <v>OK</v>
      </c>
    </row>
    <row r="78" spans="1:48" ht="37.5" customHeight="1">
      <c r="A78" s="89"/>
      <c r="B78" s="90" t="s">
        <v>31</v>
      </c>
      <c r="C78" s="51" t="s">
        <v>32</v>
      </c>
      <c r="D78" s="38" t="s">
        <v>743</v>
      </c>
      <c r="E78" s="26">
        <v>3719012</v>
      </c>
      <c r="F78" s="416"/>
      <c r="G78" s="416"/>
      <c r="H78" s="416"/>
      <c r="I78" s="416"/>
      <c r="J78" s="26">
        <v>3752660</v>
      </c>
      <c r="K78" s="26"/>
      <c r="L78" s="26"/>
      <c r="M78" s="26"/>
      <c r="N78" s="26"/>
      <c r="O78" s="26">
        <v>-3752660</v>
      </c>
      <c r="P78" s="47"/>
      <c r="Q78" s="48"/>
      <c r="R78" s="48"/>
      <c r="S78" s="49">
        <f>O78</f>
        <v>-3752660</v>
      </c>
      <c r="T78" s="781">
        <f t="shared" si="21"/>
        <v>0</v>
      </c>
      <c r="U78" s="782"/>
      <c r="V78" s="771" t="s">
        <v>745</v>
      </c>
      <c r="W78" s="26">
        <v>-3719012</v>
      </c>
      <c r="X78" s="415">
        <v>3571777</v>
      </c>
      <c r="Y78" s="416"/>
      <c r="Z78" s="416"/>
      <c r="AA78" s="416"/>
      <c r="AB78" s="416"/>
      <c r="AC78" s="424">
        <f t="shared" si="19"/>
        <v>3571777</v>
      </c>
      <c r="AD78" s="26">
        <v>-3571777</v>
      </c>
      <c r="AE78" s="47"/>
      <c r="AF78" s="48"/>
      <c r="AG78" s="48"/>
      <c r="AH78" s="49">
        <v>-3719012</v>
      </c>
      <c r="AI78" s="119"/>
      <c r="AJ78" s="149"/>
      <c r="AK78" s="129" t="s">
        <v>745</v>
      </c>
      <c r="AL78" s="66" t="s">
        <v>752</v>
      </c>
      <c r="AM78" s="128">
        <f t="shared" si="22"/>
        <v>0</v>
      </c>
      <c r="AU78" s="210">
        <f t="shared" si="20"/>
        <v>0</v>
      </c>
      <c r="AV78" s="207" t="str">
        <f t="shared" si="18"/>
        <v>OK</v>
      </c>
    </row>
    <row r="79" spans="1:48" ht="50.25" customHeight="1">
      <c r="A79" s="99"/>
      <c r="B79" s="91"/>
      <c r="C79" s="56"/>
      <c r="D79" s="38" t="s">
        <v>744</v>
      </c>
      <c r="E79" s="26">
        <v>60815</v>
      </c>
      <c r="F79" s="416"/>
      <c r="G79" s="416"/>
      <c r="H79" s="416"/>
      <c r="I79" s="416"/>
      <c r="J79" s="26">
        <v>59440</v>
      </c>
      <c r="K79" s="26"/>
      <c r="L79" s="26"/>
      <c r="M79" s="26"/>
      <c r="N79" s="26"/>
      <c r="O79" s="26">
        <f>-J79</f>
        <v>-59440</v>
      </c>
      <c r="P79" s="47"/>
      <c r="Q79" s="48"/>
      <c r="R79" s="48"/>
      <c r="S79" s="49">
        <f>O79</f>
        <v>-59440</v>
      </c>
      <c r="T79" s="781">
        <f t="shared" si="21"/>
        <v>0</v>
      </c>
      <c r="U79" s="782"/>
      <c r="V79" s="771"/>
      <c r="W79" s="26">
        <v>-60815</v>
      </c>
      <c r="X79" s="415">
        <v>55621</v>
      </c>
      <c r="Y79" s="416"/>
      <c r="Z79" s="416"/>
      <c r="AA79" s="416"/>
      <c r="AB79" s="416"/>
      <c r="AC79" s="424">
        <f t="shared" si="19"/>
        <v>55621</v>
      </c>
      <c r="AD79" s="26">
        <v>-55621</v>
      </c>
      <c r="AE79" s="47"/>
      <c r="AF79" s="48"/>
      <c r="AG79" s="48"/>
      <c r="AH79" s="49">
        <v>-60815</v>
      </c>
      <c r="AI79" s="119"/>
      <c r="AJ79" s="149"/>
      <c r="AK79" s="129"/>
      <c r="AL79" s="66" t="s">
        <v>421</v>
      </c>
      <c r="AM79" s="128">
        <f t="shared" si="22"/>
        <v>0</v>
      </c>
      <c r="AU79" s="210">
        <f t="shared" si="20"/>
        <v>0</v>
      </c>
      <c r="AV79" s="207" t="str">
        <f t="shared" si="18"/>
        <v>OK</v>
      </c>
    </row>
    <row r="80" spans="1:48" ht="50.25" customHeight="1">
      <c r="A80" s="99"/>
      <c r="B80" s="91"/>
      <c r="C80" s="56"/>
      <c r="D80" s="38" t="s">
        <v>55</v>
      </c>
      <c r="E80" s="26">
        <v>2073</v>
      </c>
      <c r="F80" s="416"/>
      <c r="G80" s="416"/>
      <c r="H80" s="416"/>
      <c r="I80" s="416"/>
      <c r="J80" s="26">
        <v>2073</v>
      </c>
      <c r="K80" s="26"/>
      <c r="L80" s="26"/>
      <c r="M80" s="26"/>
      <c r="N80" s="26"/>
      <c r="O80" s="26">
        <f>-J80</f>
        <v>-2073</v>
      </c>
      <c r="P80" s="47"/>
      <c r="Q80" s="48"/>
      <c r="R80" s="48"/>
      <c r="S80" s="49">
        <v>-2073</v>
      </c>
      <c r="T80" s="781">
        <f t="shared" si="21"/>
        <v>0</v>
      </c>
      <c r="U80" s="782"/>
      <c r="V80" s="771"/>
      <c r="W80" s="26">
        <v>-2073</v>
      </c>
      <c r="X80" s="415">
        <v>4073</v>
      </c>
      <c r="Y80" s="416"/>
      <c r="Z80" s="416"/>
      <c r="AA80" s="416"/>
      <c r="AB80" s="416"/>
      <c r="AC80" s="424">
        <f t="shared" si="19"/>
        <v>4073</v>
      </c>
      <c r="AD80" s="26">
        <v>-4073</v>
      </c>
      <c r="AE80" s="47"/>
      <c r="AF80" s="48"/>
      <c r="AG80" s="48"/>
      <c r="AH80" s="49">
        <v>-2073</v>
      </c>
      <c r="AI80" s="119"/>
      <c r="AJ80" s="149"/>
      <c r="AK80" s="129"/>
      <c r="AL80" s="66" t="s">
        <v>421</v>
      </c>
      <c r="AM80" s="128">
        <f t="shared" si="22"/>
        <v>0</v>
      </c>
      <c r="AU80" s="210">
        <f t="shared" si="20"/>
        <v>0</v>
      </c>
      <c r="AV80" s="207" t="str">
        <f t="shared" si="18"/>
        <v>OK</v>
      </c>
    </row>
    <row r="81" spans="1:48" ht="50.25" customHeight="1">
      <c r="A81" s="99"/>
      <c r="B81" s="91"/>
      <c r="C81" s="56"/>
      <c r="D81" s="38" t="s">
        <v>690</v>
      </c>
      <c r="E81" s="26">
        <v>1121</v>
      </c>
      <c r="F81" s="416"/>
      <c r="G81" s="416"/>
      <c r="H81" s="416"/>
      <c r="I81" s="416"/>
      <c r="J81" s="26">
        <v>1121</v>
      </c>
      <c r="K81" s="26"/>
      <c r="L81" s="26"/>
      <c r="M81" s="26"/>
      <c r="N81" s="26"/>
      <c r="O81" s="26">
        <f>-J81</f>
        <v>-1121</v>
      </c>
      <c r="P81" s="47"/>
      <c r="Q81" s="48"/>
      <c r="R81" s="48"/>
      <c r="S81" s="49">
        <v>-1121</v>
      </c>
      <c r="T81" s="781">
        <f t="shared" si="21"/>
        <v>0</v>
      </c>
      <c r="U81" s="782"/>
      <c r="V81" s="771"/>
      <c r="W81" s="26">
        <v>-1121</v>
      </c>
      <c r="X81" s="415">
        <v>1121</v>
      </c>
      <c r="Y81" s="416"/>
      <c r="Z81" s="416"/>
      <c r="AA81" s="416"/>
      <c r="AB81" s="416"/>
      <c r="AC81" s="424">
        <f t="shared" si="19"/>
        <v>1121</v>
      </c>
      <c r="AD81" s="26">
        <v>-1121</v>
      </c>
      <c r="AE81" s="47"/>
      <c r="AF81" s="48"/>
      <c r="AG81" s="48"/>
      <c r="AH81" s="49">
        <v>-1121</v>
      </c>
      <c r="AI81" s="119"/>
      <c r="AJ81" s="149"/>
      <c r="AK81" s="129"/>
      <c r="AL81" s="66" t="s">
        <v>421</v>
      </c>
      <c r="AM81" s="128">
        <f t="shared" si="22"/>
        <v>0</v>
      </c>
      <c r="AU81" s="210">
        <f t="shared" si="20"/>
        <v>0</v>
      </c>
      <c r="AV81" s="207" t="str">
        <f t="shared" si="18"/>
        <v>OK</v>
      </c>
    </row>
    <row r="82" spans="1:48" ht="50.25" customHeight="1">
      <c r="A82" s="99"/>
      <c r="B82" s="91"/>
      <c r="C82" s="56"/>
      <c r="D82" s="38" t="s">
        <v>691</v>
      </c>
      <c r="E82" s="26">
        <v>1013</v>
      </c>
      <c r="F82" s="416"/>
      <c r="G82" s="416"/>
      <c r="H82" s="416"/>
      <c r="I82" s="416"/>
      <c r="J82" s="26">
        <v>1013</v>
      </c>
      <c r="K82" s="26"/>
      <c r="L82" s="26"/>
      <c r="M82" s="26"/>
      <c r="N82" s="26"/>
      <c r="O82" s="26">
        <f>-J82</f>
        <v>-1013</v>
      </c>
      <c r="P82" s="47"/>
      <c r="Q82" s="48"/>
      <c r="R82" s="48"/>
      <c r="S82" s="49">
        <v>-1013</v>
      </c>
      <c r="T82" s="781">
        <f t="shared" si="21"/>
        <v>0</v>
      </c>
      <c r="U82" s="782"/>
      <c r="V82" s="771"/>
      <c r="W82" s="26">
        <v>-1013</v>
      </c>
      <c r="X82" s="415">
        <v>1013</v>
      </c>
      <c r="Y82" s="416"/>
      <c r="Z82" s="416"/>
      <c r="AA82" s="416"/>
      <c r="AB82" s="416"/>
      <c r="AC82" s="424">
        <f t="shared" si="19"/>
        <v>1013</v>
      </c>
      <c r="AD82" s="26">
        <v>-1013</v>
      </c>
      <c r="AE82" s="47"/>
      <c r="AF82" s="48"/>
      <c r="AG82" s="48"/>
      <c r="AH82" s="49">
        <v>-1013</v>
      </c>
      <c r="AI82" s="119"/>
      <c r="AJ82" s="149"/>
      <c r="AK82" s="129"/>
      <c r="AL82" s="66" t="s">
        <v>421</v>
      </c>
      <c r="AM82" s="128">
        <f t="shared" si="22"/>
        <v>0</v>
      </c>
      <c r="AU82" s="210">
        <f t="shared" si="20"/>
        <v>0</v>
      </c>
      <c r="AV82" s="207" t="str">
        <f t="shared" si="18"/>
        <v>OK</v>
      </c>
    </row>
    <row r="83" spans="1:48" ht="50.25" customHeight="1" thickBot="1">
      <c r="A83" s="99"/>
      <c r="B83" s="91"/>
      <c r="C83" s="51" t="s">
        <v>39</v>
      </c>
      <c r="D83" s="51" t="s">
        <v>33</v>
      </c>
      <c r="E83" s="30">
        <v>56379</v>
      </c>
      <c r="F83" s="427"/>
      <c r="G83" s="427"/>
      <c r="H83" s="427"/>
      <c r="I83" s="427"/>
      <c r="J83" s="30">
        <v>65281</v>
      </c>
      <c r="K83" s="30"/>
      <c r="L83" s="30"/>
      <c r="M83" s="30"/>
      <c r="N83" s="30"/>
      <c r="O83" s="30">
        <v>-32641</v>
      </c>
      <c r="P83" s="52"/>
      <c r="Q83" s="53"/>
      <c r="R83" s="53"/>
      <c r="S83" s="67">
        <f>O83</f>
        <v>-32641</v>
      </c>
      <c r="T83" s="781">
        <f t="shared" si="21"/>
        <v>0</v>
      </c>
      <c r="U83" s="782"/>
      <c r="V83" s="774" t="s">
        <v>34</v>
      </c>
      <c r="W83" s="30">
        <v>-28190</v>
      </c>
      <c r="X83" s="426">
        <v>63340</v>
      </c>
      <c r="Y83" s="427"/>
      <c r="Z83" s="427"/>
      <c r="AA83" s="427"/>
      <c r="AB83" s="427"/>
      <c r="AC83" s="424">
        <f t="shared" si="19"/>
        <v>63340</v>
      </c>
      <c r="AD83" s="30">
        <v>-32000</v>
      </c>
      <c r="AE83" s="52"/>
      <c r="AF83" s="53"/>
      <c r="AG83" s="53"/>
      <c r="AH83" s="67">
        <v>-28190</v>
      </c>
      <c r="AI83" s="120"/>
      <c r="AJ83" s="67"/>
      <c r="AK83" s="145" t="s">
        <v>34</v>
      </c>
      <c r="AL83" s="66" t="s">
        <v>421</v>
      </c>
      <c r="AM83" s="128">
        <f t="shared" si="22"/>
        <v>0</v>
      </c>
      <c r="AU83" s="210">
        <f t="shared" si="20"/>
        <v>0</v>
      </c>
      <c r="AV83" s="207" t="str">
        <f t="shared" si="18"/>
        <v>OK</v>
      </c>
    </row>
    <row r="84" spans="1:48" ht="37.5" customHeight="1" thickBot="1">
      <c r="A84" s="95"/>
      <c r="B84" s="96"/>
      <c r="C84" s="57"/>
      <c r="D84" s="57" t="s">
        <v>403</v>
      </c>
      <c r="E84" s="59">
        <f aca="true" t="shared" si="25" ref="E84:J84">SUM(E75:E83)</f>
        <v>7056019</v>
      </c>
      <c r="F84" s="373">
        <f t="shared" si="25"/>
        <v>0</v>
      </c>
      <c r="G84" s="373">
        <f t="shared" si="25"/>
        <v>6076</v>
      </c>
      <c r="H84" s="373">
        <f t="shared" si="25"/>
        <v>0</v>
      </c>
      <c r="I84" s="373">
        <f t="shared" si="25"/>
        <v>3215330</v>
      </c>
      <c r="J84" s="59">
        <f t="shared" si="25"/>
        <v>7031695</v>
      </c>
      <c r="K84" s="59"/>
      <c r="L84" s="59"/>
      <c r="M84" s="59"/>
      <c r="N84" s="59"/>
      <c r="O84" s="59">
        <f>SUM(O75:O83)</f>
        <v>-5393739</v>
      </c>
      <c r="P84" s="60">
        <f>SUM(P75:P83)</f>
        <v>0</v>
      </c>
      <c r="Q84" s="61">
        <f>SUM(Q75:Q83)</f>
        <v>-1935</v>
      </c>
      <c r="R84" s="61">
        <f>SUM(R75:R83)</f>
        <v>0</v>
      </c>
      <c r="S84" s="64">
        <f>SUM(S75:S83)</f>
        <v>-5391804</v>
      </c>
      <c r="T84" s="781">
        <f t="shared" si="21"/>
        <v>0</v>
      </c>
      <c r="U84" s="782"/>
      <c r="V84" s="590"/>
      <c r="W84" s="59">
        <f>SUM(W75:W83)</f>
        <v>-5389708</v>
      </c>
      <c r="X84" s="422">
        <f>SUM(X75:X83)</f>
        <v>7082998</v>
      </c>
      <c r="Y84" s="373"/>
      <c r="Z84" s="373"/>
      <c r="AA84" s="373"/>
      <c r="AB84" s="373"/>
      <c r="AC84" s="424">
        <f t="shared" si="19"/>
        <v>7082998</v>
      </c>
      <c r="AD84" s="59">
        <f>SUM(AD75:AD83)</f>
        <v>-5324144</v>
      </c>
      <c r="AE84" s="60">
        <f>SUM(AE75:AE83)</f>
        <v>0</v>
      </c>
      <c r="AF84" s="61">
        <f>SUM(AF75:AF83)</f>
        <v>-2430</v>
      </c>
      <c r="AG84" s="61">
        <f>SUM(AG75:AG83)</f>
        <v>0</v>
      </c>
      <c r="AH84" s="64">
        <f>SUM(AH75:AH83)</f>
        <v>-5387278</v>
      </c>
      <c r="AI84" s="68"/>
      <c r="AJ84" s="64"/>
      <c r="AK84" s="144"/>
      <c r="AM84" s="128">
        <f t="shared" si="22"/>
        <v>0</v>
      </c>
      <c r="AO84" s="59">
        <f aca="true" t="shared" si="26" ref="AO84:AT84">SUM(AO75:AO83)</f>
        <v>0</v>
      </c>
      <c r="AP84" s="59">
        <f t="shared" si="26"/>
        <v>-873</v>
      </c>
      <c r="AQ84" s="59">
        <f t="shared" si="26"/>
        <v>0</v>
      </c>
      <c r="AR84" s="59">
        <f t="shared" si="26"/>
        <v>0</v>
      </c>
      <c r="AS84" s="59">
        <f t="shared" si="26"/>
        <v>0</v>
      </c>
      <c r="AT84" s="59">
        <f t="shared" si="26"/>
        <v>-1062</v>
      </c>
      <c r="AU84" s="210">
        <f t="shared" si="20"/>
        <v>-1935</v>
      </c>
      <c r="AV84" s="207" t="str">
        <f t="shared" si="18"/>
        <v>OK</v>
      </c>
    </row>
    <row r="85" spans="1:48" ht="72.75" customHeight="1">
      <c r="A85" s="102" t="s">
        <v>285</v>
      </c>
      <c r="B85" s="98" t="s">
        <v>392</v>
      </c>
      <c r="C85" s="38" t="s">
        <v>444</v>
      </c>
      <c r="D85" s="38"/>
      <c r="E85" s="26">
        <v>2458810</v>
      </c>
      <c r="F85" s="416"/>
      <c r="G85" s="416"/>
      <c r="H85" s="416"/>
      <c r="I85" s="416"/>
      <c r="J85" s="26">
        <v>1979558</v>
      </c>
      <c r="K85" s="26"/>
      <c r="L85" s="26"/>
      <c r="M85" s="26"/>
      <c r="N85" s="26"/>
      <c r="O85" s="26">
        <v>-989779</v>
      </c>
      <c r="P85" s="47"/>
      <c r="Q85" s="48"/>
      <c r="R85" s="48"/>
      <c r="S85" s="49">
        <f>O85</f>
        <v>-989779</v>
      </c>
      <c r="T85" s="781">
        <f t="shared" si="21"/>
        <v>0</v>
      </c>
      <c r="U85" s="782"/>
      <c r="V85" s="771" t="s">
        <v>291</v>
      </c>
      <c r="W85" s="729">
        <v>-1229405</v>
      </c>
      <c r="X85" s="415">
        <v>2981314</v>
      </c>
      <c r="Y85" s="416"/>
      <c r="Z85" s="416"/>
      <c r="AA85" s="416"/>
      <c r="AB85" s="416"/>
      <c r="AC85" s="424">
        <f t="shared" si="19"/>
        <v>2981314</v>
      </c>
      <c r="AD85" s="26">
        <v>-1490657</v>
      </c>
      <c r="AE85" s="47"/>
      <c r="AF85" s="48"/>
      <c r="AG85" s="48"/>
      <c r="AH85" s="49">
        <v>-1229405</v>
      </c>
      <c r="AI85" s="119"/>
      <c r="AJ85" s="149"/>
      <c r="AK85" s="129" t="s">
        <v>291</v>
      </c>
      <c r="AL85" s="66" t="s">
        <v>421</v>
      </c>
      <c r="AM85" s="128">
        <f t="shared" si="22"/>
        <v>0</v>
      </c>
      <c r="AO85" s="25"/>
      <c r="AS85" s="48"/>
      <c r="AU85" s="210">
        <f t="shared" si="20"/>
        <v>0</v>
      </c>
      <c r="AV85" s="207" t="str">
        <f t="shared" si="18"/>
        <v>OK</v>
      </c>
    </row>
    <row r="86" spans="1:48" ht="50.25" customHeight="1">
      <c r="A86" s="89"/>
      <c r="B86" s="92"/>
      <c r="C86" s="38" t="s">
        <v>749</v>
      </c>
      <c r="D86" s="38"/>
      <c r="E86" s="26" t="s">
        <v>442</v>
      </c>
      <c r="F86" s="416"/>
      <c r="G86" s="416"/>
      <c r="H86" s="416"/>
      <c r="I86" s="416"/>
      <c r="J86" s="26" t="s">
        <v>442</v>
      </c>
      <c r="K86" s="26"/>
      <c r="L86" s="26"/>
      <c r="M86" s="26"/>
      <c r="N86" s="26"/>
      <c r="O86" s="26">
        <v>2000</v>
      </c>
      <c r="P86" s="47"/>
      <c r="Q86" s="48"/>
      <c r="R86" s="48"/>
      <c r="S86" s="49">
        <v>2000</v>
      </c>
      <c r="T86" s="781">
        <f t="shared" si="21"/>
        <v>0</v>
      </c>
      <c r="U86" s="782"/>
      <c r="V86" s="771" t="s">
        <v>758</v>
      </c>
      <c r="W86" s="26">
        <v>2000</v>
      </c>
      <c r="X86" s="415" t="s">
        <v>442</v>
      </c>
      <c r="Y86" s="416"/>
      <c r="Z86" s="416"/>
      <c r="AA86" s="416"/>
      <c r="AB86" s="416"/>
      <c r="AC86" s="424" t="e">
        <f t="shared" si="19"/>
        <v>#VALUE!</v>
      </c>
      <c r="AD86" s="26">
        <v>2000</v>
      </c>
      <c r="AE86" s="47"/>
      <c r="AF86" s="48"/>
      <c r="AG86" s="48"/>
      <c r="AH86" s="49">
        <v>2000</v>
      </c>
      <c r="AI86" s="119"/>
      <c r="AJ86" s="149"/>
      <c r="AK86" s="129" t="s">
        <v>758</v>
      </c>
      <c r="AL86" s="66" t="s">
        <v>425</v>
      </c>
      <c r="AM86" s="128">
        <f t="shared" si="22"/>
        <v>0</v>
      </c>
      <c r="AU86" s="210">
        <f t="shared" si="20"/>
        <v>0</v>
      </c>
      <c r="AV86" s="207" t="str">
        <f t="shared" si="18"/>
        <v>OK</v>
      </c>
    </row>
    <row r="87" spans="1:48" ht="63" customHeight="1">
      <c r="A87" s="89"/>
      <c r="B87" s="90" t="s">
        <v>782</v>
      </c>
      <c r="C87" s="38" t="s">
        <v>712</v>
      </c>
      <c r="D87" s="38"/>
      <c r="E87" s="33">
        <v>264542</v>
      </c>
      <c r="F87" s="416"/>
      <c r="G87" s="416">
        <v>25527</v>
      </c>
      <c r="H87" s="416"/>
      <c r="I87" s="416">
        <v>239015</v>
      </c>
      <c r="J87" s="33">
        <v>389585</v>
      </c>
      <c r="K87" s="33"/>
      <c r="L87" s="33">
        <v>25545</v>
      </c>
      <c r="M87" s="33"/>
      <c r="N87" s="33">
        <v>364040</v>
      </c>
      <c r="O87" s="33">
        <v>-136355</v>
      </c>
      <c r="P87" s="34"/>
      <c r="Q87" s="35">
        <v>-8941</v>
      </c>
      <c r="R87" s="35"/>
      <c r="S87" s="27">
        <v>-127414</v>
      </c>
      <c r="T87" s="781">
        <f t="shared" si="21"/>
        <v>0</v>
      </c>
      <c r="U87" s="782"/>
      <c r="V87" s="771" t="s">
        <v>292</v>
      </c>
      <c r="W87" s="33">
        <v>-92589</v>
      </c>
      <c r="X87" s="415">
        <v>281532</v>
      </c>
      <c r="Y87" s="416"/>
      <c r="Z87" s="416">
        <v>24527</v>
      </c>
      <c r="AA87" s="416"/>
      <c r="AB87" s="416">
        <v>257005</v>
      </c>
      <c r="AC87" s="424">
        <f t="shared" si="19"/>
        <v>0</v>
      </c>
      <c r="AD87" s="33">
        <v>-98500</v>
      </c>
      <c r="AE87" s="34"/>
      <c r="AF87" s="35">
        <v>-8934</v>
      </c>
      <c r="AG87" s="35"/>
      <c r="AH87" s="27">
        <v>-83655</v>
      </c>
      <c r="AI87" s="119"/>
      <c r="AJ87" s="149"/>
      <c r="AK87" s="129" t="s">
        <v>292</v>
      </c>
      <c r="AL87" s="66" t="s">
        <v>421</v>
      </c>
      <c r="AM87" s="128">
        <f t="shared" si="22"/>
        <v>0</v>
      </c>
      <c r="AO87" s="66">
        <v>-5434</v>
      </c>
      <c r="AT87" s="66">
        <v>-3507</v>
      </c>
      <c r="AU87" s="210">
        <f t="shared" si="20"/>
        <v>-8941</v>
      </c>
      <c r="AV87" s="207" t="str">
        <f t="shared" si="18"/>
        <v>OK</v>
      </c>
    </row>
    <row r="88" spans="1:48" ht="50.25" customHeight="1">
      <c r="A88" s="99"/>
      <c r="B88" s="25"/>
      <c r="C88" s="38" t="s">
        <v>73</v>
      </c>
      <c r="D88" s="38" t="s">
        <v>76</v>
      </c>
      <c r="E88" s="26">
        <v>3827390</v>
      </c>
      <c r="F88" s="416"/>
      <c r="G88" s="416"/>
      <c r="H88" s="416">
        <v>3826600</v>
      </c>
      <c r="I88" s="416">
        <v>790</v>
      </c>
      <c r="J88" s="26">
        <v>3827390</v>
      </c>
      <c r="K88" s="26"/>
      <c r="L88" s="26"/>
      <c r="M88" s="26"/>
      <c r="N88" s="26"/>
      <c r="O88" s="26">
        <v>-3827390</v>
      </c>
      <c r="P88" s="47"/>
      <c r="Q88" s="48"/>
      <c r="R88" s="48">
        <v>-3826500</v>
      </c>
      <c r="S88" s="49">
        <v>-890</v>
      </c>
      <c r="T88" s="781">
        <f t="shared" si="21"/>
        <v>0</v>
      </c>
      <c r="U88" s="782"/>
      <c r="V88" s="771" t="s">
        <v>74</v>
      </c>
      <c r="W88" s="26">
        <v>-3827390</v>
      </c>
      <c r="X88" s="415">
        <v>3827390</v>
      </c>
      <c r="Y88" s="416"/>
      <c r="Z88" s="416"/>
      <c r="AA88" s="416"/>
      <c r="AB88" s="416"/>
      <c r="AC88" s="424">
        <f t="shared" si="19"/>
        <v>3827390</v>
      </c>
      <c r="AD88" s="26">
        <v>-3827390</v>
      </c>
      <c r="AE88" s="47"/>
      <c r="AF88" s="48"/>
      <c r="AG88" s="48">
        <v>-3826600</v>
      </c>
      <c r="AH88" s="49">
        <v>-790</v>
      </c>
      <c r="AI88" s="119"/>
      <c r="AJ88" s="149"/>
      <c r="AK88" s="129" t="s">
        <v>74</v>
      </c>
      <c r="AL88" s="66" t="s">
        <v>421</v>
      </c>
      <c r="AM88" s="128">
        <f t="shared" si="22"/>
        <v>0</v>
      </c>
      <c r="AO88" s="25"/>
      <c r="AU88" s="210">
        <f t="shared" si="20"/>
        <v>0</v>
      </c>
      <c r="AV88" s="207" t="str">
        <f t="shared" si="18"/>
        <v>OK</v>
      </c>
    </row>
    <row r="89" spans="1:48" ht="50.25" customHeight="1">
      <c r="A89" s="99"/>
      <c r="B89" s="91"/>
      <c r="C89" s="51" t="s">
        <v>372</v>
      </c>
      <c r="D89" s="38" t="s">
        <v>520</v>
      </c>
      <c r="E89" s="26">
        <v>301000</v>
      </c>
      <c r="F89" s="416"/>
      <c r="G89" s="416">
        <v>301000</v>
      </c>
      <c r="H89" s="416"/>
      <c r="I89" s="416"/>
      <c r="J89" s="26">
        <v>138000</v>
      </c>
      <c r="K89" s="26"/>
      <c r="L89" s="26"/>
      <c r="M89" s="26"/>
      <c r="N89" s="26"/>
      <c r="O89" s="26">
        <v>-138000</v>
      </c>
      <c r="P89" s="47"/>
      <c r="Q89" s="48">
        <v>-138000</v>
      </c>
      <c r="R89" s="48"/>
      <c r="S89" s="49"/>
      <c r="T89" s="781">
        <f t="shared" si="21"/>
        <v>0</v>
      </c>
      <c r="U89" s="782"/>
      <c r="V89" s="771" t="s">
        <v>36</v>
      </c>
      <c r="W89" s="26">
        <v>-301000</v>
      </c>
      <c r="X89" s="415">
        <v>382000</v>
      </c>
      <c r="Y89" s="416"/>
      <c r="Z89" s="416"/>
      <c r="AA89" s="416"/>
      <c r="AB89" s="416"/>
      <c r="AC89" s="424">
        <f t="shared" si="19"/>
        <v>382000</v>
      </c>
      <c r="AD89" s="26">
        <v>-382000</v>
      </c>
      <c r="AE89" s="47"/>
      <c r="AF89" s="48">
        <v>-301000</v>
      </c>
      <c r="AG89" s="48"/>
      <c r="AH89" s="49"/>
      <c r="AI89" s="119"/>
      <c r="AJ89" s="149"/>
      <c r="AK89" s="129" t="s">
        <v>36</v>
      </c>
      <c r="AL89" s="66" t="s">
        <v>421</v>
      </c>
      <c r="AM89" s="128">
        <f t="shared" si="22"/>
        <v>0</v>
      </c>
      <c r="AO89" s="25"/>
      <c r="AT89" s="48">
        <v>-138000</v>
      </c>
      <c r="AU89" s="210">
        <f t="shared" si="20"/>
        <v>-138000</v>
      </c>
      <c r="AV89" s="207" t="str">
        <f t="shared" si="18"/>
        <v>OK</v>
      </c>
    </row>
    <row r="90" spans="1:48" ht="50.25" customHeight="1">
      <c r="A90" s="99"/>
      <c r="B90" s="91"/>
      <c r="C90" s="56"/>
      <c r="D90" s="38" t="s">
        <v>372</v>
      </c>
      <c r="E90" s="26">
        <v>580</v>
      </c>
      <c r="F90" s="416"/>
      <c r="G90" s="416"/>
      <c r="H90" s="416"/>
      <c r="I90" s="416">
        <v>580</v>
      </c>
      <c r="J90" s="26">
        <v>580</v>
      </c>
      <c r="K90" s="26"/>
      <c r="L90" s="26"/>
      <c r="M90" s="26"/>
      <c r="N90" s="26"/>
      <c r="O90" s="26">
        <v>-580</v>
      </c>
      <c r="P90" s="47"/>
      <c r="Q90" s="48"/>
      <c r="R90" s="48"/>
      <c r="S90" s="49">
        <v>-580</v>
      </c>
      <c r="T90" s="781">
        <f t="shared" si="21"/>
        <v>0</v>
      </c>
      <c r="U90" s="782"/>
      <c r="V90" s="771"/>
      <c r="W90" s="26">
        <v>-580</v>
      </c>
      <c r="X90" s="415">
        <v>780</v>
      </c>
      <c r="Y90" s="416"/>
      <c r="Z90" s="416"/>
      <c r="AA90" s="416"/>
      <c r="AB90" s="416"/>
      <c r="AC90" s="424">
        <f t="shared" si="19"/>
        <v>780</v>
      </c>
      <c r="AD90" s="26">
        <v>-780</v>
      </c>
      <c r="AE90" s="47"/>
      <c r="AF90" s="48"/>
      <c r="AG90" s="48"/>
      <c r="AH90" s="49">
        <v>-580</v>
      </c>
      <c r="AI90" s="119"/>
      <c r="AJ90" s="149"/>
      <c r="AK90" s="129"/>
      <c r="AL90" s="66" t="s">
        <v>421</v>
      </c>
      <c r="AM90" s="128">
        <f t="shared" si="22"/>
        <v>0</v>
      </c>
      <c r="AO90" s="25"/>
      <c r="AU90" s="210">
        <f t="shared" si="20"/>
        <v>0</v>
      </c>
      <c r="AV90" s="207" t="str">
        <f t="shared" si="18"/>
        <v>OK</v>
      </c>
    </row>
    <row r="91" spans="1:48" ht="50.25" customHeight="1">
      <c r="A91" s="99"/>
      <c r="B91" s="91"/>
      <c r="C91" s="51" t="s">
        <v>202</v>
      </c>
      <c r="D91" s="38" t="s">
        <v>417</v>
      </c>
      <c r="E91" s="33">
        <v>446700</v>
      </c>
      <c r="F91" s="428"/>
      <c r="G91" s="428"/>
      <c r="H91" s="490"/>
      <c r="I91" s="491"/>
      <c r="J91" s="33">
        <v>429500</v>
      </c>
      <c r="K91" s="33"/>
      <c r="L91" s="33"/>
      <c r="M91" s="33"/>
      <c r="N91" s="33"/>
      <c r="O91" s="33">
        <v>-429500</v>
      </c>
      <c r="P91" s="47"/>
      <c r="Q91" s="48"/>
      <c r="R91" s="48"/>
      <c r="S91" s="49">
        <v>-429500</v>
      </c>
      <c r="T91" s="781">
        <f t="shared" si="21"/>
        <v>0</v>
      </c>
      <c r="U91" s="782"/>
      <c r="V91" s="771" t="s">
        <v>757</v>
      </c>
      <c r="W91" s="33">
        <v>-446700</v>
      </c>
      <c r="X91" s="415">
        <v>189000</v>
      </c>
      <c r="Y91" s="428"/>
      <c r="Z91" s="428"/>
      <c r="AA91" s="428"/>
      <c r="AB91" s="429"/>
      <c r="AC91" s="424">
        <f t="shared" si="19"/>
        <v>189000</v>
      </c>
      <c r="AD91" s="33">
        <v>-189000</v>
      </c>
      <c r="AE91" s="47"/>
      <c r="AF91" s="48"/>
      <c r="AG91" s="48">
        <v>-445000</v>
      </c>
      <c r="AH91" s="49">
        <v>-1700</v>
      </c>
      <c r="AI91" s="119"/>
      <c r="AJ91" s="149"/>
      <c r="AK91" s="129" t="s">
        <v>757</v>
      </c>
      <c r="AL91" s="66" t="s">
        <v>421</v>
      </c>
      <c r="AM91" s="128">
        <f t="shared" si="22"/>
        <v>0</v>
      </c>
      <c r="AO91" s="25"/>
      <c r="AU91" s="210">
        <f t="shared" si="20"/>
        <v>0</v>
      </c>
      <c r="AV91" s="207" t="str">
        <f t="shared" si="18"/>
        <v>OK</v>
      </c>
    </row>
    <row r="92" spans="1:48" ht="50.25" customHeight="1">
      <c r="A92" s="99"/>
      <c r="B92" s="91"/>
      <c r="C92" s="38" t="s">
        <v>783</v>
      </c>
      <c r="D92" s="38"/>
      <c r="E92" s="26">
        <v>30000</v>
      </c>
      <c r="F92" s="425"/>
      <c r="G92" s="425"/>
      <c r="H92" s="617"/>
      <c r="I92" s="617">
        <v>30000</v>
      </c>
      <c r="J92" s="26">
        <v>33000</v>
      </c>
      <c r="K92" s="26"/>
      <c r="L92" s="26"/>
      <c r="M92" s="26"/>
      <c r="N92" s="26"/>
      <c r="O92" s="26">
        <v>-33000</v>
      </c>
      <c r="P92" s="47"/>
      <c r="Q92" s="48"/>
      <c r="R92" s="48"/>
      <c r="S92" s="49">
        <v>-33000</v>
      </c>
      <c r="T92" s="781">
        <f t="shared" si="21"/>
        <v>0</v>
      </c>
      <c r="U92" s="782"/>
      <c r="V92" s="771" t="s">
        <v>798</v>
      </c>
      <c r="W92" s="26">
        <v>-20000</v>
      </c>
      <c r="X92" s="415">
        <v>30000</v>
      </c>
      <c r="Y92" s="425"/>
      <c r="Z92" s="425"/>
      <c r="AA92" s="425"/>
      <c r="AB92" s="425"/>
      <c r="AC92" s="424">
        <f t="shared" si="19"/>
        <v>30000</v>
      </c>
      <c r="AD92" s="26">
        <v>-30000</v>
      </c>
      <c r="AE92" s="47"/>
      <c r="AF92" s="48"/>
      <c r="AG92" s="48"/>
      <c r="AH92" s="49">
        <v>-20000</v>
      </c>
      <c r="AI92" s="119"/>
      <c r="AJ92" s="149"/>
      <c r="AK92" s="129" t="s">
        <v>798</v>
      </c>
      <c r="AL92" s="66" t="s">
        <v>421</v>
      </c>
      <c r="AM92" s="128">
        <f t="shared" si="22"/>
        <v>0</v>
      </c>
      <c r="AO92" s="25"/>
      <c r="AU92" s="210">
        <f t="shared" si="20"/>
        <v>0</v>
      </c>
      <c r="AV92" s="207" t="str">
        <f t="shared" si="18"/>
        <v>OK</v>
      </c>
    </row>
    <row r="93" spans="1:48" ht="50.25" customHeight="1">
      <c r="A93" s="99"/>
      <c r="B93" s="91"/>
      <c r="C93" s="38" t="s">
        <v>522</v>
      </c>
      <c r="D93" s="38" t="s">
        <v>523</v>
      </c>
      <c r="E93" s="26">
        <v>375398</v>
      </c>
      <c r="F93" s="425"/>
      <c r="G93" s="425"/>
      <c r="H93" s="617"/>
      <c r="I93" s="617">
        <v>375398</v>
      </c>
      <c r="J93" s="26">
        <v>368165</v>
      </c>
      <c r="K93" s="26"/>
      <c r="L93" s="26"/>
      <c r="M93" s="26"/>
      <c r="N93" s="26"/>
      <c r="O93" s="26">
        <v>90000</v>
      </c>
      <c r="P93" s="47"/>
      <c r="Q93" s="48"/>
      <c r="R93" s="48"/>
      <c r="S93" s="49">
        <v>90000</v>
      </c>
      <c r="T93" s="781">
        <f t="shared" si="21"/>
        <v>0</v>
      </c>
      <c r="U93" s="782"/>
      <c r="V93" s="771" t="s">
        <v>565</v>
      </c>
      <c r="W93" s="26">
        <v>90000</v>
      </c>
      <c r="X93" s="415">
        <v>371263</v>
      </c>
      <c r="Y93" s="425"/>
      <c r="Z93" s="425"/>
      <c r="AA93" s="425"/>
      <c r="AB93" s="425"/>
      <c r="AC93" s="424">
        <f t="shared" si="19"/>
        <v>371263</v>
      </c>
      <c r="AD93" s="26">
        <v>90000</v>
      </c>
      <c r="AE93" s="47"/>
      <c r="AF93" s="48"/>
      <c r="AG93" s="48"/>
      <c r="AH93" s="49">
        <v>90000</v>
      </c>
      <c r="AI93" s="119"/>
      <c r="AJ93" s="149"/>
      <c r="AK93" s="129" t="s">
        <v>297</v>
      </c>
      <c r="AL93" s="66" t="s">
        <v>425</v>
      </c>
      <c r="AM93" s="128">
        <f t="shared" si="22"/>
        <v>0</v>
      </c>
      <c r="AO93" s="25"/>
      <c r="AU93" s="210">
        <f t="shared" si="20"/>
        <v>0</v>
      </c>
      <c r="AV93" s="207" t="str">
        <f t="shared" si="18"/>
        <v>OK</v>
      </c>
    </row>
    <row r="94" spans="1:48" ht="50.25" customHeight="1">
      <c r="A94" s="99"/>
      <c r="B94" s="92"/>
      <c r="C94" s="38" t="s">
        <v>204</v>
      </c>
      <c r="D94" s="38" t="s">
        <v>205</v>
      </c>
      <c r="E94" s="33">
        <v>3878980</v>
      </c>
      <c r="F94" s="428">
        <v>21000</v>
      </c>
      <c r="G94" s="428">
        <v>22690</v>
      </c>
      <c r="H94" s="490">
        <v>3591600</v>
      </c>
      <c r="I94" s="490">
        <v>243690</v>
      </c>
      <c r="J94" s="33">
        <v>3560700</v>
      </c>
      <c r="K94" s="33">
        <v>21000</v>
      </c>
      <c r="L94" s="33">
        <v>19440</v>
      </c>
      <c r="M94" s="33">
        <v>3081100</v>
      </c>
      <c r="N94" s="33">
        <v>439160</v>
      </c>
      <c r="O94" s="33">
        <v>-1780350</v>
      </c>
      <c r="P94" s="34">
        <v>-10500</v>
      </c>
      <c r="Q94" s="34">
        <v>-9720</v>
      </c>
      <c r="R94" s="48">
        <v>-1540500</v>
      </c>
      <c r="S94" s="49">
        <v>-219630</v>
      </c>
      <c r="T94" s="781">
        <f t="shared" si="21"/>
        <v>0</v>
      </c>
      <c r="U94" s="782"/>
      <c r="V94" s="771" t="s">
        <v>291</v>
      </c>
      <c r="W94" s="33">
        <v>-1939490</v>
      </c>
      <c r="X94" s="415">
        <v>4801495</v>
      </c>
      <c r="Y94" s="428">
        <v>890766</v>
      </c>
      <c r="Z94" s="428">
        <v>6711</v>
      </c>
      <c r="AA94" s="428">
        <v>3887200</v>
      </c>
      <c r="AB94" s="429">
        <v>16818</v>
      </c>
      <c r="AC94" s="424">
        <f t="shared" si="19"/>
        <v>0</v>
      </c>
      <c r="AD94" s="33">
        <v>-2400000</v>
      </c>
      <c r="AE94" s="34">
        <v>-10500</v>
      </c>
      <c r="AF94" s="34">
        <v>-11345</v>
      </c>
      <c r="AG94" s="48">
        <v>-1795800</v>
      </c>
      <c r="AH94" s="49">
        <v>-121845</v>
      </c>
      <c r="AI94" s="119"/>
      <c r="AJ94" s="149"/>
      <c r="AK94" s="129" t="s">
        <v>291</v>
      </c>
      <c r="AL94" s="66" t="s">
        <v>421</v>
      </c>
      <c r="AM94" s="128">
        <f t="shared" si="22"/>
        <v>0</v>
      </c>
      <c r="AO94" s="34">
        <v>-9720</v>
      </c>
      <c r="AP94" s="209">
        <v>0</v>
      </c>
      <c r="AQ94" s="209">
        <v>0</v>
      </c>
      <c r="AR94" s="209">
        <v>0</v>
      </c>
      <c r="AS94" s="209">
        <v>0</v>
      </c>
      <c r="AT94" s="209">
        <v>0</v>
      </c>
      <c r="AU94" s="210">
        <f t="shared" si="20"/>
        <v>-9720</v>
      </c>
      <c r="AV94" s="207" t="str">
        <f t="shared" si="18"/>
        <v>OK</v>
      </c>
    </row>
    <row r="95" spans="1:48" ht="77.25" customHeight="1">
      <c r="A95" s="99"/>
      <c r="B95" s="90" t="s">
        <v>206</v>
      </c>
      <c r="C95" s="38" t="s">
        <v>207</v>
      </c>
      <c r="D95" s="38" t="s">
        <v>208</v>
      </c>
      <c r="E95" s="33">
        <v>18795443</v>
      </c>
      <c r="F95" s="428">
        <v>9589100</v>
      </c>
      <c r="G95" s="428">
        <v>529443</v>
      </c>
      <c r="H95" s="490">
        <v>8128200</v>
      </c>
      <c r="I95" s="491">
        <v>548700</v>
      </c>
      <c r="J95" s="33">
        <v>12949000</v>
      </c>
      <c r="K95" s="33">
        <v>6501900</v>
      </c>
      <c r="L95" s="33">
        <v>290000</v>
      </c>
      <c r="M95" s="33">
        <v>5804400</v>
      </c>
      <c r="N95" s="33">
        <v>352700</v>
      </c>
      <c r="O95" s="33">
        <v>-6474500</v>
      </c>
      <c r="P95" s="34">
        <v>-3250950</v>
      </c>
      <c r="Q95" s="48">
        <v>-145000</v>
      </c>
      <c r="R95" s="48">
        <v>-2902200</v>
      </c>
      <c r="S95" s="49">
        <v>-176350</v>
      </c>
      <c r="T95" s="781">
        <f t="shared" si="21"/>
        <v>0</v>
      </c>
      <c r="U95" s="782"/>
      <c r="V95" s="771" t="s">
        <v>252</v>
      </c>
      <c r="W95" s="33">
        <v>-9397722</v>
      </c>
      <c r="X95" s="415">
        <v>10212138</v>
      </c>
      <c r="Y95" s="428">
        <v>5657152</v>
      </c>
      <c r="Z95" s="428">
        <v>276509</v>
      </c>
      <c r="AA95" s="428">
        <v>4277800</v>
      </c>
      <c r="AB95" s="429">
        <v>677</v>
      </c>
      <c r="AC95" s="424">
        <f t="shared" si="19"/>
        <v>0</v>
      </c>
      <c r="AD95" s="33">
        <v>-5106000</v>
      </c>
      <c r="AE95" s="34">
        <v>-4794550</v>
      </c>
      <c r="AF95" s="48">
        <v>-264722</v>
      </c>
      <c r="AG95" s="48">
        <v>-4064100</v>
      </c>
      <c r="AH95" s="49">
        <v>-274350</v>
      </c>
      <c r="AI95" s="119"/>
      <c r="AJ95" s="149"/>
      <c r="AK95" s="129" t="s">
        <v>252</v>
      </c>
      <c r="AL95" s="66" t="s">
        <v>421</v>
      </c>
      <c r="AM95" s="128">
        <f t="shared" si="22"/>
        <v>0</v>
      </c>
      <c r="AO95" s="48">
        <v>-145000</v>
      </c>
      <c r="AP95" s="209">
        <v>0</v>
      </c>
      <c r="AQ95" s="209">
        <v>0</v>
      </c>
      <c r="AR95" s="209">
        <v>0</v>
      </c>
      <c r="AS95" s="209">
        <v>0</v>
      </c>
      <c r="AT95" s="209">
        <v>0</v>
      </c>
      <c r="AU95" s="210">
        <f t="shared" si="20"/>
        <v>-145000</v>
      </c>
      <c r="AV95" s="207" t="str">
        <f t="shared" si="18"/>
        <v>OK</v>
      </c>
    </row>
    <row r="96" spans="1:48" ht="50.25" customHeight="1">
      <c r="A96" s="99"/>
      <c r="B96" s="91"/>
      <c r="C96" s="38" t="s">
        <v>409</v>
      </c>
      <c r="D96" s="38" t="s">
        <v>410</v>
      </c>
      <c r="E96" s="33">
        <v>4100908</v>
      </c>
      <c r="F96" s="428"/>
      <c r="G96" s="428">
        <v>10300</v>
      </c>
      <c r="H96" s="490">
        <v>4088000</v>
      </c>
      <c r="I96" s="491">
        <v>2608</v>
      </c>
      <c r="J96" s="33">
        <v>4114346</v>
      </c>
      <c r="K96" s="33"/>
      <c r="L96" s="33">
        <v>10800</v>
      </c>
      <c r="M96" s="33">
        <v>4098600</v>
      </c>
      <c r="N96" s="33">
        <v>4946</v>
      </c>
      <c r="O96" s="33">
        <v>-1440021</v>
      </c>
      <c r="P96" s="34">
        <v>0</v>
      </c>
      <c r="Q96" s="48">
        <v>-3780</v>
      </c>
      <c r="R96" s="48">
        <v>-1434500</v>
      </c>
      <c r="S96" s="49">
        <v>-1741</v>
      </c>
      <c r="T96" s="781">
        <f t="shared" si="21"/>
        <v>0</v>
      </c>
      <c r="U96" s="782"/>
      <c r="V96" s="771" t="s">
        <v>292</v>
      </c>
      <c r="W96" s="33">
        <v>-1435318</v>
      </c>
      <c r="X96" s="415">
        <v>8480808</v>
      </c>
      <c r="Y96" s="428">
        <v>0</v>
      </c>
      <c r="Z96" s="428">
        <v>470</v>
      </c>
      <c r="AA96" s="428">
        <v>8471800</v>
      </c>
      <c r="AB96" s="429">
        <v>8538</v>
      </c>
      <c r="AC96" s="424">
        <v>0</v>
      </c>
      <c r="AD96" s="33">
        <v>-2968000</v>
      </c>
      <c r="AE96" s="34">
        <v>0</v>
      </c>
      <c r="AF96" s="48">
        <v>-3605</v>
      </c>
      <c r="AG96" s="48">
        <v>-1430800</v>
      </c>
      <c r="AH96" s="49">
        <v>-913</v>
      </c>
      <c r="AI96" s="119"/>
      <c r="AJ96" s="149"/>
      <c r="AK96" s="129" t="s">
        <v>292</v>
      </c>
      <c r="AL96" s="66" t="s">
        <v>421</v>
      </c>
      <c r="AM96" s="128">
        <f t="shared" si="22"/>
        <v>0</v>
      </c>
      <c r="AO96" s="48">
        <v>-3780</v>
      </c>
      <c r="AP96" s="209">
        <v>0</v>
      </c>
      <c r="AQ96" s="209">
        <v>0</v>
      </c>
      <c r="AR96" s="209">
        <v>0</v>
      </c>
      <c r="AS96" s="209">
        <v>0</v>
      </c>
      <c r="AT96" s="209">
        <v>0</v>
      </c>
      <c r="AU96" s="210">
        <f t="shared" si="20"/>
        <v>-3780</v>
      </c>
      <c r="AV96" s="207" t="str">
        <f t="shared" si="18"/>
        <v>OK</v>
      </c>
    </row>
    <row r="97" spans="1:48" ht="57.75" customHeight="1">
      <c r="A97" s="99"/>
      <c r="B97" s="92"/>
      <c r="C97" s="38" t="s">
        <v>411</v>
      </c>
      <c r="D97" s="38" t="s">
        <v>210</v>
      </c>
      <c r="E97" s="26">
        <v>8263870</v>
      </c>
      <c r="F97" s="425"/>
      <c r="G97" s="425"/>
      <c r="H97" s="617">
        <v>8255400</v>
      </c>
      <c r="I97" s="617">
        <v>8470</v>
      </c>
      <c r="J97" s="26">
        <v>7487000</v>
      </c>
      <c r="K97" s="26"/>
      <c r="L97" s="26"/>
      <c r="M97" s="26">
        <v>7478300</v>
      </c>
      <c r="N97" s="26">
        <v>8700</v>
      </c>
      <c r="O97" s="26">
        <v>-7487000</v>
      </c>
      <c r="P97" s="47">
        <v>0</v>
      </c>
      <c r="Q97" s="48">
        <v>0</v>
      </c>
      <c r="R97" s="48">
        <v>-7478300</v>
      </c>
      <c r="S97" s="49">
        <v>-8700</v>
      </c>
      <c r="T97" s="781">
        <f t="shared" si="21"/>
        <v>0</v>
      </c>
      <c r="U97" s="782"/>
      <c r="V97" s="771" t="s">
        <v>77</v>
      </c>
      <c r="W97" s="26">
        <v>-8263870</v>
      </c>
      <c r="X97" s="415">
        <v>12159555</v>
      </c>
      <c r="Y97" s="425"/>
      <c r="Z97" s="425"/>
      <c r="AA97" s="425"/>
      <c r="AB97" s="425"/>
      <c r="AC97" s="424">
        <f>X97-Y97-Z97-AA97-AB97</f>
        <v>12159555</v>
      </c>
      <c r="AD97" s="26">
        <v>-12159555</v>
      </c>
      <c r="AE97" s="47"/>
      <c r="AF97" s="48"/>
      <c r="AG97" s="48">
        <v>-8255400</v>
      </c>
      <c r="AH97" s="49">
        <v>-8470</v>
      </c>
      <c r="AI97" s="119"/>
      <c r="AJ97" s="149"/>
      <c r="AK97" s="129" t="s">
        <v>77</v>
      </c>
      <c r="AL97" s="66" t="s">
        <v>421</v>
      </c>
      <c r="AM97" s="128">
        <f t="shared" si="22"/>
        <v>0</v>
      </c>
      <c r="AO97" s="209"/>
      <c r="AP97" s="209"/>
      <c r="AQ97" s="209"/>
      <c r="AR97" s="209"/>
      <c r="AS97" s="209"/>
      <c r="AT97" s="209"/>
      <c r="AU97" s="210">
        <f t="shared" si="20"/>
        <v>0</v>
      </c>
      <c r="AV97" s="207" t="str">
        <f t="shared" si="18"/>
        <v>OK</v>
      </c>
    </row>
    <row r="98" spans="1:48" ht="57.75" customHeight="1">
      <c r="A98" s="99"/>
      <c r="B98" s="90" t="s">
        <v>526</v>
      </c>
      <c r="C98" s="38" t="s">
        <v>526</v>
      </c>
      <c r="D98" s="38" t="s">
        <v>844</v>
      </c>
      <c r="E98" s="33">
        <v>10380</v>
      </c>
      <c r="F98" s="425"/>
      <c r="G98" s="425"/>
      <c r="H98" s="617"/>
      <c r="I98" s="617"/>
      <c r="J98" s="33">
        <v>23139</v>
      </c>
      <c r="K98" s="33"/>
      <c r="L98" s="33"/>
      <c r="M98" s="33"/>
      <c r="N98" s="33"/>
      <c r="O98" s="33">
        <v>-23139</v>
      </c>
      <c r="P98" s="47"/>
      <c r="Q98" s="48"/>
      <c r="R98" s="48"/>
      <c r="S98" s="49">
        <v>-23139</v>
      </c>
      <c r="T98" s="781">
        <f t="shared" si="21"/>
        <v>0</v>
      </c>
      <c r="U98" s="782"/>
      <c r="V98" s="771" t="s">
        <v>845</v>
      </c>
      <c r="W98" s="33">
        <v>-3380</v>
      </c>
      <c r="X98" s="415">
        <v>2980</v>
      </c>
      <c r="Y98" s="425"/>
      <c r="Z98" s="425"/>
      <c r="AA98" s="425"/>
      <c r="AB98" s="425"/>
      <c r="AC98" s="424">
        <f>X98-Y98-Z98-AA98-AB98</f>
        <v>2980</v>
      </c>
      <c r="AD98" s="33">
        <v>-2980</v>
      </c>
      <c r="AE98" s="47"/>
      <c r="AF98" s="48"/>
      <c r="AG98" s="48"/>
      <c r="AH98" s="49">
        <v>-3380</v>
      </c>
      <c r="AI98" s="119"/>
      <c r="AJ98" s="149"/>
      <c r="AK98" s="129" t="s">
        <v>845</v>
      </c>
      <c r="AL98" s="66" t="s">
        <v>421</v>
      </c>
      <c r="AM98" s="128">
        <f t="shared" si="22"/>
        <v>0</v>
      </c>
      <c r="AO98" s="209"/>
      <c r="AP98" s="209"/>
      <c r="AQ98" s="209"/>
      <c r="AR98" s="209"/>
      <c r="AS98" s="209"/>
      <c r="AT98" s="209"/>
      <c r="AU98" s="210">
        <f t="shared" si="20"/>
        <v>0</v>
      </c>
      <c r="AV98" s="207" t="str">
        <f aca="true" t="shared" si="27" ref="AV98:AV128">IF(Q98=AU98,"OK","OUT")</f>
        <v>OK</v>
      </c>
    </row>
    <row r="99" spans="1:48" ht="50.25" customHeight="1">
      <c r="A99" s="99"/>
      <c r="B99" s="92"/>
      <c r="C99" s="38" t="s">
        <v>785</v>
      </c>
      <c r="D99" s="38"/>
      <c r="E99" s="33">
        <v>318818</v>
      </c>
      <c r="F99" s="428"/>
      <c r="G99" s="428">
        <v>74866</v>
      </c>
      <c r="H99" s="490"/>
      <c r="I99" s="491">
        <v>243952</v>
      </c>
      <c r="J99" s="33">
        <v>297552</v>
      </c>
      <c r="K99" s="33"/>
      <c r="L99" s="33">
        <v>69057</v>
      </c>
      <c r="M99" s="33"/>
      <c r="N99" s="33">
        <v>228495</v>
      </c>
      <c r="O99" s="33">
        <v>-104143</v>
      </c>
      <c r="P99" s="34">
        <v>0</v>
      </c>
      <c r="Q99" s="48">
        <v>-24170</v>
      </c>
      <c r="R99" s="48">
        <v>0</v>
      </c>
      <c r="S99" s="49">
        <v>-79973</v>
      </c>
      <c r="T99" s="781">
        <f t="shared" si="21"/>
        <v>0</v>
      </c>
      <c r="U99" s="782"/>
      <c r="V99" s="771" t="s">
        <v>528</v>
      </c>
      <c r="W99" s="33">
        <v>-111586</v>
      </c>
      <c r="X99" s="415">
        <v>344865</v>
      </c>
      <c r="Y99" s="428">
        <v>0</v>
      </c>
      <c r="Z99" s="428">
        <v>87131</v>
      </c>
      <c r="AA99" s="428">
        <v>0</v>
      </c>
      <c r="AB99" s="429">
        <v>257734</v>
      </c>
      <c r="AC99" s="424">
        <f>X99-Y99-Z99-AA99-AB99</f>
        <v>0</v>
      </c>
      <c r="AD99" s="33">
        <v>-120500</v>
      </c>
      <c r="AE99" s="34"/>
      <c r="AF99" s="48">
        <v>-26203</v>
      </c>
      <c r="AG99" s="48"/>
      <c r="AH99" s="49">
        <v>-85383</v>
      </c>
      <c r="AI99" s="119"/>
      <c r="AJ99" s="149"/>
      <c r="AK99" s="129" t="s">
        <v>525</v>
      </c>
      <c r="AL99" s="66" t="s">
        <v>421</v>
      </c>
      <c r="AM99" s="128">
        <f t="shared" si="22"/>
        <v>0</v>
      </c>
      <c r="AO99" s="48">
        <v>-24170</v>
      </c>
      <c r="AP99" s="209">
        <v>0</v>
      </c>
      <c r="AQ99" s="209">
        <v>0</v>
      </c>
      <c r="AR99" s="209">
        <v>0</v>
      </c>
      <c r="AS99" s="209">
        <v>0</v>
      </c>
      <c r="AT99" s="209">
        <v>0</v>
      </c>
      <c r="AU99" s="210">
        <f t="shared" si="20"/>
        <v>-24170</v>
      </c>
      <c r="AV99" s="207" t="str">
        <f t="shared" si="27"/>
        <v>OK</v>
      </c>
    </row>
    <row r="100" spans="1:48" ht="50.25" customHeight="1">
      <c r="A100" s="99"/>
      <c r="B100" s="91" t="s">
        <v>527</v>
      </c>
      <c r="C100" s="38" t="s">
        <v>211</v>
      </c>
      <c r="D100" s="38" t="s">
        <v>212</v>
      </c>
      <c r="E100" s="33">
        <v>2141000</v>
      </c>
      <c r="F100" s="428">
        <v>1048155</v>
      </c>
      <c r="G100" s="428">
        <v>44689</v>
      </c>
      <c r="H100" s="490">
        <v>1047200</v>
      </c>
      <c r="I100" s="491">
        <v>956</v>
      </c>
      <c r="J100" s="33">
        <v>3804000</v>
      </c>
      <c r="K100" s="33"/>
      <c r="L100" s="33"/>
      <c r="M100" s="33"/>
      <c r="N100" s="33"/>
      <c r="O100" s="33">
        <v>-3804000</v>
      </c>
      <c r="P100" s="47">
        <v>-1856862</v>
      </c>
      <c r="Q100" s="48">
        <v>-90276</v>
      </c>
      <c r="R100" s="48">
        <v>-1854800</v>
      </c>
      <c r="S100" s="49">
        <v>-2062</v>
      </c>
      <c r="T100" s="781">
        <f t="shared" si="21"/>
        <v>0</v>
      </c>
      <c r="U100" s="782"/>
      <c r="V100" s="771" t="s">
        <v>485</v>
      </c>
      <c r="W100" s="33">
        <v>-2141000</v>
      </c>
      <c r="X100" s="415">
        <v>1108600</v>
      </c>
      <c r="Y100" s="428">
        <v>548079</v>
      </c>
      <c r="Z100" s="428">
        <v>12443</v>
      </c>
      <c r="AA100" s="428">
        <v>546900</v>
      </c>
      <c r="AB100" s="429">
        <v>1178</v>
      </c>
      <c r="AC100" s="424">
        <f>X100-Y100-Z100-AA100-AB100</f>
        <v>0</v>
      </c>
      <c r="AD100" s="33">
        <v>-1108600</v>
      </c>
      <c r="AE100" s="47">
        <v>-1048155</v>
      </c>
      <c r="AF100" s="48">
        <v>-44689</v>
      </c>
      <c r="AG100" s="48">
        <v>-1047200</v>
      </c>
      <c r="AH100" s="49">
        <v>-956</v>
      </c>
      <c r="AI100" s="119"/>
      <c r="AJ100" s="149"/>
      <c r="AK100" s="129" t="s">
        <v>485</v>
      </c>
      <c r="AL100" s="66" t="s">
        <v>421</v>
      </c>
      <c r="AM100" s="128">
        <f t="shared" si="22"/>
        <v>0</v>
      </c>
      <c r="AO100" s="48">
        <v>-90276</v>
      </c>
      <c r="AP100" s="209">
        <v>0</v>
      </c>
      <c r="AQ100" s="209">
        <v>0</v>
      </c>
      <c r="AR100" s="209">
        <v>0</v>
      </c>
      <c r="AS100" s="209">
        <v>0</v>
      </c>
      <c r="AT100" s="209">
        <v>0</v>
      </c>
      <c r="AU100" s="210">
        <f t="shared" si="20"/>
        <v>-90276</v>
      </c>
      <c r="AV100" s="207" t="str">
        <f t="shared" si="27"/>
        <v>OK</v>
      </c>
    </row>
    <row r="101" spans="1:48" ht="50.25" customHeight="1">
      <c r="A101" s="99"/>
      <c r="B101" s="91"/>
      <c r="C101" s="38" t="s">
        <v>216</v>
      </c>
      <c r="D101" s="38" t="s">
        <v>217</v>
      </c>
      <c r="E101" s="33">
        <v>512700</v>
      </c>
      <c r="F101" s="428"/>
      <c r="G101" s="428">
        <v>76349</v>
      </c>
      <c r="H101" s="490">
        <v>436000</v>
      </c>
      <c r="I101" s="491">
        <v>351</v>
      </c>
      <c r="J101" s="33">
        <v>487000</v>
      </c>
      <c r="K101" s="33"/>
      <c r="L101" s="33">
        <v>93860</v>
      </c>
      <c r="M101" s="33">
        <v>391200</v>
      </c>
      <c r="N101" s="33">
        <v>1940</v>
      </c>
      <c r="O101" s="33">
        <v>-243500</v>
      </c>
      <c r="P101" s="34">
        <v>0</v>
      </c>
      <c r="Q101" s="48">
        <v>-46930</v>
      </c>
      <c r="R101" s="48">
        <v>-195600</v>
      </c>
      <c r="S101" s="49">
        <v>-970</v>
      </c>
      <c r="T101" s="781">
        <f t="shared" si="21"/>
        <v>0</v>
      </c>
      <c r="U101" s="782"/>
      <c r="V101" s="771" t="s">
        <v>395</v>
      </c>
      <c r="W101" s="33">
        <v>-256350</v>
      </c>
      <c r="X101" s="415">
        <v>487000</v>
      </c>
      <c r="Y101" s="428">
        <v>0</v>
      </c>
      <c r="Z101" s="428">
        <v>120687</v>
      </c>
      <c r="AA101" s="428">
        <v>365500</v>
      </c>
      <c r="AB101" s="429">
        <v>813</v>
      </c>
      <c r="AC101" s="424">
        <v>0</v>
      </c>
      <c r="AD101" s="33">
        <v>-243500</v>
      </c>
      <c r="AE101" s="34"/>
      <c r="AF101" s="48">
        <v>-38174</v>
      </c>
      <c r="AG101" s="48">
        <v>-218000</v>
      </c>
      <c r="AH101" s="49">
        <v>-176</v>
      </c>
      <c r="AI101" s="119"/>
      <c r="AJ101" s="149"/>
      <c r="AK101" s="129" t="s">
        <v>395</v>
      </c>
      <c r="AL101" s="66" t="s">
        <v>421</v>
      </c>
      <c r="AM101" s="128">
        <f t="shared" si="22"/>
        <v>0</v>
      </c>
      <c r="AO101" s="48">
        <v>-46930</v>
      </c>
      <c r="AP101" s="209">
        <v>0</v>
      </c>
      <c r="AQ101" s="209">
        <v>0</v>
      </c>
      <c r="AR101" s="209">
        <v>0</v>
      </c>
      <c r="AS101" s="209">
        <v>0</v>
      </c>
      <c r="AT101" s="209">
        <v>0</v>
      </c>
      <c r="AU101" s="210">
        <f t="shared" si="20"/>
        <v>-46930</v>
      </c>
      <c r="AV101" s="207" t="str">
        <f t="shared" si="27"/>
        <v>OK</v>
      </c>
    </row>
    <row r="102" spans="1:48" ht="60.75" customHeight="1">
      <c r="A102" s="99"/>
      <c r="B102" s="92"/>
      <c r="C102" s="38" t="s">
        <v>218</v>
      </c>
      <c r="D102" s="38" t="s">
        <v>666</v>
      </c>
      <c r="E102" s="26">
        <v>3329000</v>
      </c>
      <c r="F102" s="425"/>
      <c r="G102" s="425"/>
      <c r="H102" s="617">
        <v>3278000</v>
      </c>
      <c r="I102" s="617">
        <v>51000</v>
      </c>
      <c r="J102" s="26">
        <v>3390000</v>
      </c>
      <c r="K102" s="26"/>
      <c r="L102" s="26"/>
      <c r="M102" s="26"/>
      <c r="N102" s="26"/>
      <c r="O102" s="26">
        <v>-3390000</v>
      </c>
      <c r="P102" s="47"/>
      <c r="Q102" s="48"/>
      <c r="R102" s="48">
        <v>-3386000</v>
      </c>
      <c r="S102" s="49">
        <v>-4000</v>
      </c>
      <c r="T102" s="781">
        <f t="shared" si="21"/>
        <v>0</v>
      </c>
      <c r="U102" s="782"/>
      <c r="V102" s="771" t="s">
        <v>373</v>
      </c>
      <c r="W102" s="26">
        <v>-3329000</v>
      </c>
      <c r="X102" s="415">
        <v>7228000</v>
      </c>
      <c r="Y102" s="425"/>
      <c r="Z102" s="425"/>
      <c r="AA102" s="425"/>
      <c r="AB102" s="425"/>
      <c r="AC102" s="424">
        <f>X102-Y102-Z102-AA102-AB102</f>
        <v>7228000</v>
      </c>
      <c r="AD102" s="26">
        <v>-7228000</v>
      </c>
      <c r="AE102" s="47"/>
      <c r="AF102" s="48"/>
      <c r="AG102" s="48">
        <v>-3278000</v>
      </c>
      <c r="AH102" s="49">
        <v>-51000</v>
      </c>
      <c r="AI102" s="119"/>
      <c r="AJ102" s="149"/>
      <c r="AK102" s="129" t="s">
        <v>373</v>
      </c>
      <c r="AL102" s="66" t="s">
        <v>421</v>
      </c>
      <c r="AM102" s="128">
        <f t="shared" si="22"/>
        <v>0</v>
      </c>
      <c r="AO102" s="209"/>
      <c r="AP102" s="209"/>
      <c r="AQ102" s="209"/>
      <c r="AR102" s="209"/>
      <c r="AS102" s="209"/>
      <c r="AT102" s="209"/>
      <c r="AU102" s="210">
        <f aca="true" t="shared" si="28" ref="AU102:AU132">SUM(AO102:AT102)</f>
        <v>0</v>
      </c>
      <c r="AV102" s="207" t="str">
        <f t="shared" si="27"/>
        <v>OK</v>
      </c>
    </row>
    <row r="103" spans="1:48" ht="70.5" customHeight="1">
      <c r="A103" s="99"/>
      <c r="B103" s="90" t="s">
        <v>219</v>
      </c>
      <c r="C103" s="38" t="s">
        <v>220</v>
      </c>
      <c r="D103" s="38" t="s">
        <v>762</v>
      </c>
      <c r="E103" s="33">
        <v>458000</v>
      </c>
      <c r="F103" s="428">
        <v>218000</v>
      </c>
      <c r="G103" s="428"/>
      <c r="H103" s="490">
        <v>238400</v>
      </c>
      <c r="I103" s="491">
        <v>1600</v>
      </c>
      <c r="J103" s="33">
        <v>165000</v>
      </c>
      <c r="K103" s="33">
        <v>75167</v>
      </c>
      <c r="L103" s="33"/>
      <c r="M103" s="33">
        <v>88800</v>
      </c>
      <c r="N103" s="33">
        <v>1033</v>
      </c>
      <c r="O103" s="33">
        <v>-57750</v>
      </c>
      <c r="P103" s="34">
        <v>-26308</v>
      </c>
      <c r="Q103" s="48">
        <v>0</v>
      </c>
      <c r="R103" s="48">
        <v>-31000</v>
      </c>
      <c r="S103" s="49">
        <v>-442</v>
      </c>
      <c r="T103" s="781">
        <f aca="true" t="shared" si="29" ref="T103:T133">O103-P103-Q103-R103-S103</f>
        <v>0</v>
      </c>
      <c r="U103" s="782"/>
      <c r="V103" s="771" t="s">
        <v>528</v>
      </c>
      <c r="W103" s="33">
        <v>-160300</v>
      </c>
      <c r="X103" s="415">
        <v>478850</v>
      </c>
      <c r="Y103" s="428">
        <v>230118</v>
      </c>
      <c r="Z103" s="428">
        <v>0</v>
      </c>
      <c r="AA103" s="428">
        <v>247600</v>
      </c>
      <c r="AB103" s="429">
        <v>1132</v>
      </c>
      <c r="AC103" s="424">
        <v>0</v>
      </c>
      <c r="AD103" s="33">
        <v>-167000</v>
      </c>
      <c r="AE103" s="34">
        <v>-76300</v>
      </c>
      <c r="AF103" s="48"/>
      <c r="AG103" s="48">
        <v>-83400</v>
      </c>
      <c r="AH103" s="49">
        <v>-600</v>
      </c>
      <c r="AI103" s="119"/>
      <c r="AJ103" s="149"/>
      <c r="AK103" s="129" t="s">
        <v>528</v>
      </c>
      <c r="AL103" s="66" t="s">
        <v>421</v>
      </c>
      <c r="AM103" s="128">
        <f aca="true" t="shared" si="30" ref="AM103:AM133">W103-AE103-AF103-AG103-AH103</f>
        <v>0</v>
      </c>
      <c r="AO103" s="209"/>
      <c r="AP103" s="209"/>
      <c r="AQ103" s="209"/>
      <c r="AR103" s="209"/>
      <c r="AS103" s="209"/>
      <c r="AT103" s="209"/>
      <c r="AU103" s="210">
        <f t="shared" si="28"/>
        <v>0</v>
      </c>
      <c r="AV103" s="207" t="str">
        <f t="shared" si="27"/>
        <v>OK</v>
      </c>
    </row>
    <row r="104" spans="1:48" ht="50.25" customHeight="1">
      <c r="A104" s="99"/>
      <c r="B104" s="92"/>
      <c r="C104" s="38" t="s">
        <v>221</v>
      </c>
      <c r="D104" s="38" t="s">
        <v>222</v>
      </c>
      <c r="E104" s="26">
        <v>138000</v>
      </c>
      <c r="F104" s="425"/>
      <c r="G104" s="425"/>
      <c r="H104" s="617">
        <v>137200</v>
      </c>
      <c r="I104" s="617">
        <v>800</v>
      </c>
      <c r="J104" s="26">
        <v>84000</v>
      </c>
      <c r="K104" s="26"/>
      <c r="L104" s="26"/>
      <c r="M104" s="26"/>
      <c r="N104" s="26"/>
      <c r="O104" s="26">
        <v>-84000</v>
      </c>
      <c r="P104" s="47"/>
      <c r="Q104" s="48"/>
      <c r="R104" s="48">
        <v>-83000</v>
      </c>
      <c r="S104" s="49">
        <v>-1000</v>
      </c>
      <c r="T104" s="781">
        <f t="shared" si="29"/>
        <v>0</v>
      </c>
      <c r="U104" s="782"/>
      <c r="V104" s="771" t="s">
        <v>373</v>
      </c>
      <c r="W104" s="26">
        <v>-138000</v>
      </c>
      <c r="X104" s="415">
        <v>171000</v>
      </c>
      <c r="Y104" s="425"/>
      <c r="Z104" s="425"/>
      <c r="AA104" s="425"/>
      <c r="AB104" s="425"/>
      <c r="AC104" s="424">
        <f>X104-Y104-Z104-AA104-AB104</f>
        <v>171000</v>
      </c>
      <c r="AD104" s="26">
        <v>-171000</v>
      </c>
      <c r="AE104" s="47"/>
      <c r="AF104" s="48"/>
      <c r="AG104" s="48">
        <v>-137200</v>
      </c>
      <c r="AH104" s="49">
        <v>-800</v>
      </c>
      <c r="AI104" s="119"/>
      <c r="AJ104" s="149"/>
      <c r="AK104" s="129" t="s">
        <v>373</v>
      </c>
      <c r="AL104" s="66" t="s">
        <v>421</v>
      </c>
      <c r="AM104" s="128">
        <f t="shared" si="30"/>
        <v>0</v>
      </c>
      <c r="AO104" s="209"/>
      <c r="AP104" s="209"/>
      <c r="AQ104" s="209"/>
      <c r="AR104" s="209"/>
      <c r="AS104" s="209"/>
      <c r="AT104" s="209"/>
      <c r="AU104" s="210">
        <f t="shared" si="28"/>
        <v>0</v>
      </c>
      <c r="AV104" s="207" t="str">
        <f t="shared" si="27"/>
        <v>OK</v>
      </c>
    </row>
    <row r="105" spans="1:48" ht="63" customHeight="1">
      <c r="A105" s="99"/>
      <c r="B105" s="90" t="s">
        <v>223</v>
      </c>
      <c r="C105" s="38" t="s">
        <v>224</v>
      </c>
      <c r="D105" s="38" t="s">
        <v>667</v>
      </c>
      <c r="E105" s="33">
        <v>11930000</v>
      </c>
      <c r="F105" s="428">
        <v>5948200</v>
      </c>
      <c r="G105" s="428">
        <v>192000</v>
      </c>
      <c r="H105" s="490">
        <v>5714700</v>
      </c>
      <c r="I105" s="491">
        <v>75100</v>
      </c>
      <c r="J105" s="33">
        <v>8885000</v>
      </c>
      <c r="K105" s="33">
        <v>4362317</v>
      </c>
      <c r="L105" s="33">
        <v>226100</v>
      </c>
      <c r="M105" s="33">
        <v>4260100</v>
      </c>
      <c r="N105" s="33">
        <v>36483</v>
      </c>
      <c r="O105" s="33">
        <v>-3109750</v>
      </c>
      <c r="P105" s="34">
        <v>-1526811</v>
      </c>
      <c r="Q105" s="48">
        <v>-79135</v>
      </c>
      <c r="R105" s="48">
        <v>-1491000</v>
      </c>
      <c r="S105" s="49">
        <v>-12804</v>
      </c>
      <c r="T105" s="781">
        <f t="shared" si="29"/>
        <v>0</v>
      </c>
      <c r="U105" s="782"/>
      <c r="V105" s="771" t="s">
        <v>559</v>
      </c>
      <c r="W105" s="33">
        <v>-4175500</v>
      </c>
      <c r="X105" s="415">
        <v>7148810</v>
      </c>
      <c r="Y105" s="428">
        <v>3498350</v>
      </c>
      <c r="Z105" s="428">
        <v>113870</v>
      </c>
      <c r="AA105" s="428">
        <v>3535200</v>
      </c>
      <c r="AB105" s="429">
        <v>1390</v>
      </c>
      <c r="AC105" s="424">
        <f>X105-Y105-Z105-AA105-AB105</f>
        <v>0</v>
      </c>
      <c r="AD105" s="33">
        <v>-2430750</v>
      </c>
      <c r="AE105" s="34">
        <v>-2081870</v>
      </c>
      <c r="AF105" s="48">
        <v>-67200</v>
      </c>
      <c r="AG105" s="48">
        <v>-2000000</v>
      </c>
      <c r="AH105" s="49">
        <v>-26430</v>
      </c>
      <c r="AI105" s="119"/>
      <c r="AJ105" s="149"/>
      <c r="AK105" s="129" t="s">
        <v>490</v>
      </c>
      <c r="AL105" s="66" t="s">
        <v>421</v>
      </c>
      <c r="AM105" s="128">
        <f t="shared" si="30"/>
        <v>0</v>
      </c>
      <c r="AO105" s="48">
        <v>-79135</v>
      </c>
      <c r="AP105" s="209"/>
      <c r="AQ105" s="209"/>
      <c r="AR105" s="209"/>
      <c r="AS105" s="209"/>
      <c r="AT105" s="209"/>
      <c r="AU105" s="210">
        <f t="shared" si="28"/>
        <v>-79135</v>
      </c>
      <c r="AV105" s="207" t="str">
        <f t="shared" si="27"/>
        <v>OK</v>
      </c>
    </row>
    <row r="106" spans="1:48" ht="50.25" customHeight="1">
      <c r="A106" s="99"/>
      <c r="B106" s="92"/>
      <c r="C106" s="38" t="s">
        <v>225</v>
      </c>
      <c r="D106" s="38" t="s">
        <v>226</v>
      </c>
      <c r="E106" s="26">
        <v>1382000</v>
      </c>
      <c r="F106" s="428"/>
      <c r="G106" s="428"/>
      <c r="H106" s="490">
        <v>1381800</v>
      </c>
      <c r="I106" s="491">
        <v>200</v>
      </c>
      <c r="J106" s="26">
        <v>1296000</v>
      </c>
      <c r="K106" s="26"/>
      <c r="L106" s="26"/>
      <c r="M106" s="26"/>
      <c r="N106" s="26"/>
      <c r="O106" s="26">
        <v>-1296000</v>
      </c>
      <c r="P106" s="47"/>
      <c r="Q106" s="48"/>
      <c r="R106" s="48">
        <v>-1293400</v>
      </c>
      <c r="S106" s="49">
        <v>-2600</v>
      </c>
      <c r="T106" s="781">
        <f t="shared" si="29"/>
        <v>0</v>
      </c>
      <c r="U106" s="782"/>
      <c r="V106" s="771" t="s">
        <v>560</v>
      </c>
      <c r="W106" s="26">
        <v>-1382000</v>
      </c>
      <c r="X106" s="415">
        <v>1500000</v>
      </c>
      <c r="Y106" s="428"/>
      <c r="Z106" s="428"/>
      <c r="AA106" s="428"/>
      <c r="AB106" s="429"/>
      <c r="AC106" s="424">
        <f>X106-Y106-Z106-AA106-AB106</f>
        <v>1500000</v>
      </c>
      <c r="AD106" s="26">
        <v>-1500000</v>
      </c>
      <c r="AE106" s="47"/>
      <c r="AF106" s="48"/>
      <c r="AG106" s="48">
        <v>-1381800</v>
      </c>
      <c r="AH106" s="49">
        <v>-200</v>
      </c>
      <c r="AI106" s="119"/>
      <c r="AJ106" s="149"/>
      <c r="AK106" s="129" t="s">
        <v>491</v>
      </c>
      <c r="AL106" s="66" t="s">
        <v>421</v>
      </c>
      <c r="AM106" s="128">
        <f t="shared" si="30"/>
        <v>0</v>
      </c>
      <c r="AO106" s="209"/>
      <c r="AP106" s="209"/>
      <c r="AQ106" s="209"/>
      <c r="AR106" s="209"/>
      <c r="AS106" s="209"/>
      <c r="AT106" s="209"/>
      <c r="AU106" s="210">
        <f t="shared" si="28"/>
        <v>0</v>
      </c>
      <c r="AV106" s="207" t="str">
        <f t="shared" si="27"/>
        <v>OK</v>
      </c>
    </row>
    <row r="107" spans="1:48" ht="50.25" customHeight="1">
      <c r="A107" s="99"/>
      <c r="B107" s="90" t="s">
        <v>846</v>
      </c>
      <c r="C107" s="38" t="s">
        <v>846</v>
      </c>
      <c r="D107" s="38" t="s">
        <v>847</v>
      </c>
      <c r="E107" s="33">
        <v>2154</v>
      </c>
      <c r="F107" s="428"/>
      <c r="G107" s="428">
        <v>2154</v>
      </c>
      <c r="H107" s="490"/>
      <c r="I107" s="491"/>
      <c r="J107" s="33">
        <v>2154</v>
      </c>
      <c r="K107" s="33"/>
      <c r="L107" s="33"/>
      <c r="M107" s="33"/>
      <c r="N107" s="33"/>
      <c r="O107" s="33">
        <v>-2154</v>
      </c>
      <c r="P107" s="47"/>
      <c r="Q107" s="48">
        <v>-2154</v>
      </c>
      <c r="R107" s="48"/>
      <c r="S107" s="49"/>
      <c r="T107" s="781">
        <f t="shared" si="29"/>
        <v>0</v>
      </c>
      <c r="U107" s="782"/>
      <c r="V107" s="771" t="s">
        <v>605</v>
      </c>
      <c r="W107" s="33">
        <v>-2154</v>
      </c>
      <c r="X107" s="415">
        <v>2154</v>
      </c>
      <c r="Y107" s="428"/>
      <c r="Z107" s="428"/>
      <c r="AA107" s="428"/>
      <c r="AB107" s="429"/>
      <c r="AC107" s="424">
        <f>X107-Y107-Z107-AA107-AB107</f>
        <v>2154</v>
      </c>
      <c r="AD107" s="33">
        <v>-2154</v>
      </c>
      <c r="AE107" s="47"/>
      <c r="AF107" s="48">
        <v>-2154</v>
      </c>
      <c r="AG107" s="48"/>
      <c r="AH107" s="49"/>
      <c r="AI107" s="119"/>
      <c r="AJ107" s="149"/>
      <c r="AK107" s="129" t="s">
        <v>605</v>
      </c>
      <c r="AL107" s="66" t="s">
        <v>421</v>
      </c>
      <c r="AM107" s="128">
        <f t="shared" si="30"/>
        <v>0</v>
      </c>
      <c r="AO107" s="209"/>
      <c r="AP107" s="48">
        <v>-2154</v>
      </c>
      <c r="AQ107" s="209"/>
      <c r="AR107" s="209"/>
      <c r="AS107" s="209"/>
      <c r="AT107" s="209"/>
      <c r="AU107" s="210">
        <f t="shared" si="28"/>
        <v>-2154</v>
      </c>
      <c r="AV107" s="207" t="str">
        <f t="shared" si="27"/>
        <v>OK</v>
      </c>
    </row>
    <row r="108" spans="1:48" ht="50.25" customHeight="1">
      <c r="A108" s="99"/>
      <c r="B108" s="92"/>
      <c r="C108" s="38" t="s">
        <v>604</v>
      </c>
      <c r="D108" s="38" t="s">
        <v>847</v>
      </c>
      <c r="E108" s="33">
        <v>350</v>
      </c>
      <c r="F108" s="428"/>
      <c r="G108" s="428"/>
      <c r="H108" s="490"/>
      <c r="I108" s="491">
        <v>350</v>
      </c>
      <c r="J108" s="33">
        <v>350</v>
      </c>
      <c r="K108" s="33"/>
      <c r="L108" s="33"/>
      <c r="M108" s="33"/>
      <c r="N108" s="33"/>
      <c r="O108" s="33">
        <v>-350</v>
      </c>
      <c r="P108" s="34"/>
      <c r="Q108" s="48"/>
      <c r="R108" s="48"/>
      <c r="S108" s="49">
        <v>-350</v>
      </c>
      <c r="T108" s="781">
        <f t="shared" si="29"/>
        <v>0</v>
      </c>
      <c r="U108" s="782"/>
      <c r="V108" s="771" t="s">
        <v>605</v>
      </c>
      <c r="W108" s="33">
        <v>-350</v>
      </c>
      <c r="X108" s="415">
        <v>350</v>
      </c>
      <c r="Y108" s="428"/>
      <c r="Z108" s="428"/>
      <c r="AA108" s="428"/>
      <c r="AB108" s="429"/>
      <c r="AC108" s="424">
        <f>X108-Y108-Z108-AA108-AB108</f>
        <v>350</v>
      </c>
      <c r="AD108" s="33">
        <v>-350</v>
      </c>
      <c r="AE108" s="34"/>
      <c r="AF108" s="48"/>
      <c r="AG108" s="48"/>
      <c r="AH108" s="49">
        <v>-350</v>
      </c>
      <c r="AI108" s="119"/>
      <c r="AJ108" s="149"/>
      <c r="AK108" s="129" t="s">
        <v>605</v>
      </c>
      <c r="AL108" s="66" t="s">
        <v>421</v>
      </c>
      <c r="AM108" s="128">
        <f t="shared" si="30"/>
        <v>0</v>
      </c>
      <c r="AO108" s="209"/>
      <c r="AP108" s="48"/>
      <c r="AQ108" s="209"/>
      <c r="AR108" s="209"/>
      <c r="AS108" s="209"/>
      <c r="AT108" s="209"/>
      <c r="AU108" s="210">
        <f t="shared" si="28"/>
        <v>0</v>
      </c>
      <c r="AV108" s="207" t="str">
        <f t="shared" si="27"/>
        <v>OK</v>
      </c>
    </row>
    <row r="109" spans="1:48" ht="71.25" customHeight="1">
      <c r="A109" s="99"/>
      <c r="B109" s="90" t="s">
        <v>227</v>
      </c>
      <c r="C109" s="38" t="s">
        <v>261</v>
      </c>
      <c r="D109" s="38" t="s">
        <v>668</v>
      </c>
      <c r="E109" s="33">
        <v>5030000</v>
      </c>
      <c r="F109" s="428">
        <v>1890962</v>
      </c>
      <c r="G109" s="428">
        <v>528000</v>
      </c>
      <c r="H109" s="490">
        <v>2511900</v>
      </c>
      <c r="I109" s="491">
        <v>99138</v>
      </c>
      <c r="J109" s="33">
        <v>3062000</v>
      </c>
      <c r="K109" s="33">
        <v>1213328</v>
      </c>
      <c r="L109" s="33">
        <v>271460</v>
      </c>
      <c r="M109" s="33">
        <v>1522800</v>
      </c>
      <c r="N109" s="33">
        <v>54412</v>
      </c>
      <c r="O109" s="33">
        <v>-1071700</v>
      </c>
      <c r="P109" s="34">
        <v>-424665</v>
      </c>
      <c r="Q109" s="48">
        <v>-95011</v>
      </c>
      <c r="R109" s="48">
        <v>-532900</v>
      </c>
      <c r="S109" s="49">
        <v>-19124</v>
      </c>
      <c r="T109" s="781">
        <f t="shared" si="29"/>
        <v>0</v>
      </c>
      <c r="U109" s="782"/>
      <c r="V109" s="771" t="s">
        <v>524</v>
      </c>
      <c r="W109" s="33">
        <v>-1760500</v>
      </c>
      <c r="X109" s="415">
        <v>5748033</v>
      </c>
      <c r="Y109" s="428">
        <v>2121934</v>
      </c>
      <c r="Z109" s="428">
        <v>528448</v>
      </c>
      <c r="AA109" s="428">
        <v>3077900</v>
      </c>
      <c r="AB109" s="429">
        <v>19751</v>
      </c>
      <c r="AC109" s="424">
        <v>0</v>
      </c>
      <c r="AD109" s="33">
        <v>-2011000</v>
      </c>
      <c r="AE109" s="34">
        <v>-661837</v>
      </c>
      <c r="AF109" s="48">
        <v>-184800</v>
      </c>
      <c r="AG109" s="48">
        <v>-879000</v>
      </c>
      <c r="AH109" s="49">
        <v>-34863</v>
      </c>
      <c r="AI109" s="119"/>
      <c r="AJ109" s="149"/>
      <c r="AK109" s="129" t="s">
        <v>524</v>
      </c>
      <c r="AL109" s="66" t="s">
        <v>421</v>
      </c>
      <c r="AM109" s="128">
        <f t="shared" si="30"/>
        <v>0</v>
      </c>
      <c r="AO109" s="48">
        <v>-95011</v>
      </c>
      <c r="AP109" s="209">
        <v>0</v>
      </c>
      <c r="AQ109" s="209">
        <v>0</v>
      </c>
      <c r="AR109" s="209">
        <v>0</v>
      </c>
      <c r="AS109" s="209">
        <v>0</v>
      </c>
      <c r="AT109" s="209">
        <v>0</v>
      </c>
      <c r="AU109" s="210">
        <f t="shared" si="28"/>
        <v>-95011</v>
      </c>
      <c r="AV109" s="207" t="str">
        <f t="shared" si="27"/>
        <v>OK</v>
      </c>
    </row>
    <row r="110" spans="1:48" ht="31.5" customHeight="1">
      <c r="A110" s="99"/>
      <c r="B110" s="91"/>
      <c r="C110" s="38" t="s">
        <v>262</v>
      </c>
      <c r="D110" s="38" t="s">
        <v>263</v>
      </c>
      <c r="E110" s="33">
        <v>86800</v>
      </c>
      <c r="F110" s="428"/>
      <c r="G110" s="428">
        <v>13020</v>
      </c>
      <c r="H110" s="490">
        <v>73000</v>
      </c>
      <c r="I110" s="491">
        <v>780</v>
      </c>
      <c r="J110" s="33">
        <v>46000</v>
      </c>
      <c r="K110" s="33"/>
      <c r="L110" s="33">
        <v>6900</v>
      </c>
      <c r="M110" s="33">
        <v>37900</v>
      </c>
      <c r="N110" s="33">
        <v>1200</v>
      </c>
      <c r="O110" s="33">
        <v>-9200</v>
      </c>
      <c r="P110" s="34">
        <v>0</v>
      </c>
      <c r="Q110" s="48">
        <v>-1380</v>
      </c>
      <c r="R110" s="48">
        <v>-7500</v>
      </c>
      <c r="S110" s="49">
        <v>-320</v>
      </c>
      <c r="T110" s="781">
        <f t="shared" si="29"/>
        <v>0</v>
      </c>
      <c r="U110" s="782"/>
      <c r="V110" s="771" t="s">
        <v>707</v>
      </c>
      <c r="W110" s="33">
        <f>-E110*0.2</f>
        <v>-17360</v>
      </c>
      <c r="X110" s="415">
        <v>115200</v>
      </c>
      <c r="Y110" s="428">
        <v>0</v>
      </c>
      <c r="Z110" s="428">
        <v>17280</v>
      </c>
      <c r="AA110" s="428">
        <v>97200</v>
      </c>
      <c r="AB110" s="429">
        <v>720</v>
      </c>
      <c r="AC110" s="424">
        <v>0</v>
      </c>
      <c r="AD110" s="33">
        <v>-23000</v>
      </c>
      <c r="AE110" s="34"/>
      <c r="AF110" s="48">
        <v>-2604</v>
      </c>
      <c r="AG110" s="48">
        <v>-14600</v>
      </c>
      <c r="AH110" s="49">
        <v>-156</v>
      </c>
      <c r="AI110" s="119"/>
      <c r="AJ110" s="149"/>
      <c r="AK110" s="129" t="s">
        <v>707</v>
      </c>
      <c r="AL110" s="66" t="s">
        <v>421</v>
      </c>
      <c r="AM110" s="128">
        <f t="shared" si="30"/>
        <v>0</v>
      </c>
      <c r="AO110" s="48">
        <v>-1380</v>
      </c>
      <c r="AP110" s="209">
        <v>0</v>
      </c>
      <c r="AQ110" s="209">
        <v>0</v>
      </c>
      <c r="AR110" s="209">
        <v>0</v>
      </c>
      <c r="AS110" s="209">
        <v>0</v>
      </c>
      <c r="AT110" s="209">
        <v>0</v>
      </c>
      <c r="AU110" s="210">
        <f t="shared" si="28"/>
        <v>-1380</v>
      </c>
      <c r="AV110" s="207" t="str">
        <f t="shared" si="27"/>
        <v>OK</v>
      </c>
    </row>
    <row r="111" spans="1:48" ht="48" customHeight="1">
      <c r="A111" s="99"/>
      <c r="B111" s="92"/>
      <c r="C111" s="38" t="s">
        <v>396</v>
      </c>
      <c r="D111" s="38" t="s">
        <v>264</v>
      </c>
      <c r="E111" s="26">
        <v>457965</v>
      </c>
      <c r="F111" s="425"/>
      <c r="G111" s="425"/>
      <c r="H111" s="617">
        <v>457100</v>
      </c>
      <c r="I111" s="617">
        <v>865</v>
      </c>
      <c r="J111" s="26">
        <v>384000</v>
      </c>
      <c r="K111" s="26"/>
      <c r="L111" s="26"/>
      <c r="M111" s="26"/>
      <c r="N111" s="26"/>
      <c r="O111" s="26">
        <v>-384000</v>
      </c>
      <c r="P111" s="47"/>
      <c r="Q111" s="48"/>
      <c r="R111" s="48">
        <v>-382600</v>
      </c>
      <c r="S111" s="49">
        <v>-1400</v>
      </c>
      <c r="T111" s="781">
        <f t="shared" si="29"/>
        <v>0</v>
      </c>
      <c r="U111" s="782"/>
      <c r="V111" s="771" t="s">
        <v>373</v>
      </c>
      <c r="W111" s="26">
        <f>-E111</f>
        <v>-457965</v>
      </c>
      <c r="X111" s="415">
        <v>565000</v>
      </c>
      <c r="Y111" s="425"/>
      <c r="Z111" s="425"/>
      <c r="AA111" s="425"/>
      <c r="AB111" s="425"/>
      <c r="AC111" s="424">
        <f aca="true" t="shared" si="31" ref="AC111:AC117">X111-Y111-Z111-AA111-AB111</f>
        <v>565000</v>
      </c>
      <c r="AD111" s="26">
        <v>-565000</v>
      </c>
      <c r="AE111" s="47"/>
      <c r="AF111" s="48"/>
      <c r="AG111" s="48">
        <v>-457100</v>
      </c>
      <c r="AH111" s="49">
        <v>-865</v>
      </c>
      <c r="AI111" s="119"/>
      <c r="AJ111" s="149"/>
      <c r="AK111" s="129" t="s">
        <v>373</v>
      </c>
      <c r="AL111" s="66" t="s">
        <v>421</v>
      </c>
      <c r="AM111" s="128">
        <f t="shared" si="30"/>
        <v>0</v>
      </c>
      <c r="AO111" s="209"/>
      <c r="AP111" s="209"/>
      <c r="AQ111" s="209"/>
      <c r="AR111" s="209"/>
      <c r="AS111" s="209"/>
      <c r="AT111" s="209"/>
      <c r="AU111" s="210">
        <f t="shared" si="28"/>
        <v>0</v>
      </c>
      <c r="AV111" s="207" t="str">
        <f t="shared" si="27"/>
        <v>OK</v>
      </c>
    </row>
    <row r="112" spans="1:48" ht="60" customHeight="1">
      <c r="A112" s="99"/>
      <c r="B112" s="90" t="s">
        <v>265</v>
      </c>
      <c r="C112" s="51" t="s">
        <v>618</v>
      </c>
      <c r="D112" s="38" t="s">
        <v>848</v>
      </c>
      <c r="E112" s="26">
        <v>37370</v>
      </c>
      <c r="F112" s="425"/>
      <c r="G112" s="425"/>
      <c r="H112" s="617"/>
      <c r="I112" s="617"/>
      <c r="J112" s="26">
        <v>32025</v>
      </c>
      <c r="K112" s="26"/>
      <c r="L112" s="26"/>
      <c r="M112" s="26"/>
      <c r="N112" s="26"/>
      <c r="O112" s="26">
        <v>-32025</v>
      </c>
      <c r="P112" s="47"/>
      <c r="Q112" s="48"/>
      <c r="R112" s="48"/>
      <c r="S112" s="49">
        <v>-32025</v>
      </c>
      <c r="T112" s="781">
        <f t="shared" si="29"/>
        <v>0</v>
      </c>
      <c r="U112" s="782"/>
      <c r="V112" s="771" t="s">
        <v>257</v>
      </c>
      <c r="W112" s="26">
        <v>-37370</v>
      </c>
      <c r="X112" s="415">
        <v>37700</v>
      </c>
      <c r="Y112" s="425"/>
      <c r="Z112" s="425"/>
      <c r="AA112" s="425"/>
      <c r="AB112" s="425"/>
      <c r="AC112" s="424">
        <f t="shared" si="31"/>
        <v>37700</v>
      </c>
      <c r="AD112" s="26">
        <v>-37700</v>
      </c>
      <c r="AE112" s="47"/>
      <c r="AF112" s="48"/>
      <c r="AG112" s="48"/>
      <c r="AH112" s="49">
        <v>-37370</v>
      </c>
      <c r="AI112" s="119"/>
      <c r="AJ112" s="149"/>
      <c r="AK112" s="129" t="s">
        <v>257</v>
      </c>
      <c r="AL112" s="66" t="s">
        <v>421</v>
      </c>
      <c r="AM112" s="128">
        <f t="shared" si="30"/>
        <v>0</v>
      </c>
      <c r="AO112" s="209"/>
      <c r="AP112" s="209"/>
      <c r="AQ112" s="209"/>
      <c r="AR112" s="209"/>
      <c r="AS112" s="209"/>
      <c r="AT112" s="209"/>
      <c r="AU112" s="210">
        <f t="shared" si="28"/>
        <v>0</v>
      </c>
      <c r="AV112" s="207" t="str">
        <f t="shared" si="27"/>
        <v>OK</v>
      </c>
    </row>
    <row r="113" spans="1:48" ht="36.75" customHeight="1">
      <c r="A113" s="99"/>
      <c r="B113" s="91"/>
      <c r="C113" s="38" t="s">
        <v>268</v>
      </c>
      <c r="D113" s="38"/>
      <c r="E113" s="33">
        <v>171595</v>
      </c>
      <c r="F113" s="428"/>
      <c r="G113" s="428"/>
      <c r="H113" s="490"/>
      <c r="I113" s="491"/>
      <c r="J113" s="33">
        <v>151728</v>
      </c>
      <c r="K113" s="33"/>
      <c r="L113" s="33"/>
      <c r="M113" s="33"/>
      <c r="N113" s="33"/>
      <c r="O113" s="33">
        <v>-151728</v>
      </c>
      <c r="P113" s="47"/>
      <c r="Q113" s="48">
        <v>-4225</v>
      </c>
      <c r="R113" s="48"/>
      <c r="S113" s="49">
        <v>-147503</v>
      </c>
      <c r="T113" s="781">
        <f t="shared" si="29"/>
        <v>0</v>
      </c>
      <c r="U113" s="782"/>
      <c r="V113" s="771" t="s">
        <v>799</v>
      </c>
      <c r="W113" s="33">
        <v>-171595</v>
      </c>
      <c r="X113" s="415">
        <v>185367</v>
      </c>
      <c r="Y113" s="428">
        <v>0</v>
      </c>
      <c r="Z113" s="428">
        <v>5000</v>
      </c>
      <c r="AA113" s="428">
        <v>0</v>
      </c>
      <c r="AB113" s="429">
        <v>180367</v>
      </c>
      <c r="AC113" s="424">
        <f t="shared" si="31"/>
        <v>0</v>
      </c>
      <c r="AD113" s="33">
        <v>-185367</v>
      </c>
      <c r="AE113" s="47"/>
      <c r="AF113" s="48">
        <v>-4828</v>
      </c>
      <c r="AG113" s="48"/>
      <c r="AH113" s="49">
        <v>-166767</v>
      </c>
      <c r="AI113" s="119"/>
      <c r="AJ113" s="149"/>
      <c r="AK113" s="129" t="s">
        <v>799</v>
      </c>
      <c r="AL113" s="66" t="s">
        <v>421</v>
      </c>
      <c r="AM113" s="128">
        <f t="shared" si="30"/>
        <v>0</v>
      </c>
      <c r="AO113" s="209"/>
      <c r="AP113" s="48">
        <v>-4225</v>
      </c>
      <c r="AQ113" s="209"/>
      <c r="AR113" s="209"/>
      <c r="AS113" s="209"/>
      <c r="AT113" s="209"/>
      <c r="AU113" s="210">
        <f t="shared" si="28"/>
        <v>-4225</v>
      </c>
      <c r="AV113" s="207" t="str">
        <f t="shared" si="27"/>
        <v>OK</v>
      </c>
    </row>
    <row r="114" spans="1:48" ht="31.5" customHeight="1">
      <c r="A114" s="99"/>
      <c r="B114" s="91"/>
      <c r="C114" s="56" t="s">
        <v>531</v>
      </c>
      <c r="D114" s="38"/>
      <c r="E114" s="26">
        <v>232000</v>
      </c>
      <c r="F114" s="425"/>
      <c r="G114" s="425"/>
      <c r="H114" s="617"/>
      <c r="I114" s="617"/>
      <c r="J114" s="26">
        <v>222000</v>
      </c>
      <c r="K114" s="26"/>
      <c r="L114" s="26"/>
      <c r="M114" s="26"/>
      <c r="N114" s="26"/>
      <c r="O114" s="26">
        <v>-222000</v>
      </c>
      <c r="P114" s="47"/>
      <c r="Q114" s="48"/>
      <c r="R114" s="48">
        <v>-219000</v>
      </c>
      <c r="S114" s="49">
        <v>-3000</v>
      </c>
      <c r="T114" s="781">
        <f t="shared" si="29"/>
        <v>0</v>
      </c>
      <c r="U114" s="782"/>
      <c r="V114" s="771" t="s">
        <v>850</v>
      </c>
      <c r="W114" s="26">
        <v>-232000</v>
      </c>
      <c r="X114" s="415">
        <v>206500</v>
      </c>
      <c r="Y114" s="425"/>
      <c r="Z114" s="425"/>
      <c r="AA114" s="425"/>
      <c r="AB114" s="425"/>
      <c r="AC114" s="424">
        <f t="shared" si="31"/>
        <v>206500</v>
      </c>
      <c r="AD114" s="26">
        <v>-206500</v>
      </c>
      <c r="AE114" s="47"/>
      <c r="AF114" s="48"/>
      <c r="AG114" s="48">
        <v>-229800</v>
      </c>
      <c r="AH114" s="49">
        <v>-2200</v>
      </c>
      <c r="AI114" s="119"/>
      <c r="AJ114" s="149"/>
      <c r="AK114" s="129" t="s">
        <v>850</v>
      </c>
      <c r="AL114" s="66" t="s">
        <v>421</v>
      </c>
      <c r="AM114" s="128">
        <f t="shared" si="30"/>
        <v>0</v>
      </c>
      <c r="AO114" s="209"/>
      <c r="AP114" s="209"/>
      <c r="AQ114" s="209"/>
      <c r="AR114" s="209"/>
      <c r="AS114" s="209"/>
      <c r="AT114" s="209"/>
      <c r="AU114" s="210">
        <f t="shared" si="28"/>
        <v>0</v>
      </c>
      <c r="AV114" s="207" t="str">
        <f t="shared" si="27"/>
        <v>OK</v>
      </c>
    </row>
    <row r="115" spans="1:48" ht="39.75" customHeight="1">
      <c r="A115" s="99"/>
      <c r="B115" s="91"/>
      <c r="C115" s="38" t="s">
        <v>270</v>
      </c>
      <c r="D115" s="38" t="s">
        <v>270</v>
      </c>
      <c r="E115" s="26">
        <v>265918</v>
      </c>
      <c r="F115" s="425"/>
      <c r="G115" s="425"/>
      <c r="H115" s="617"/>
      <c r="I115" s="617"/>
      <c r="J115" s="26">
        <v>228961</v>
      </c>
      <c r="K115" s="26"/>
      <c r="L115" s="26"/>
      <c r="M115" s="26"/>
      <c r="N115" s="26"/>
      <c r="O115" s="26">
        <v>-228961</v>
      </c>
      <c r="P115" s="47"/>
      <c r="Q115" s="48"/>
      <c r="R115" s="48"/>
      <c r="S115" s="49">
        <v>-228961</v>
      </c>
      <c r="T115" s="781">
        <f t="shared" si="29"/>
        <v>0</v>
      </c>
      <c r="U115" s="782"/>
      <c r="V115" s="771"/>
      <c r="W115" s="26">
        <v>-265918</v>
      </c>
      <c r="X115" s="415">
        <v>261631</v>
      </c>
      <c r="Y115" s="425"/>
      <c r="Z115" s="425"/>
      <c r="AA115" s="425"/>
      <c r="AB115" s="425"/>
      <c r="AC115" s="424">
        <f t="shared" si="31"/>
        <v>261631</v>
      </c>
      <c r="AD115" s="26">
        <v>-261631</v>
      </c>
      <c r="AE115" s="47"/>
      <c r="AF115" s="48"/>
      <c r="AG115" s="48"/>
      <c r="AH115" s="49">
        <v>-265918</v>
      </c>
      <c r="AI115" s="119"/>
      <c r="AJ115" s="149"/>
      <c r="AK115" s="129"/>
      <c r="AL115" s="66" t="s">
        <v>421</v>
      </c>
      <c r="AM115" s="128">
        <f t="shared" si="30"/>
        <v>0</v>
      </c>
      <c r="AO115" s="209"/>
      <c r="AP115" s="209"/>
      <c r="AQ115" s="209"/>
      <c r="AR115" s="209"/>
      <c r="AS115" s="209"/>
      <c r="AT115" s="209"/>
      <c r="AU115" s="210">
        <f t="shared" si="28"/>
        <v>0</v>
      </c>
      <c r="AV115" s="207" t="str">
        <f t="shared" si="27"/>
        <v>OK</v>
      </c>
    </row>
    <row r="116" spans="1:48" ht="31.5" customHeight="1">
      <c r="A116" s="99"/>
      <c r="B116" s="91"/>
      <c r="C116" s="51" t="s">
        <v>699</v>
      </c>
      <c r="D116" s="38" t="s">
        <v>507</v>
      </c>
      <c r="E116" s="33">
        <v>139000</v>
      </c>
      <c r="F116" s="428"/>
      <c r="G116" s="428"/>
      <c r="H116" s="490"/>
      <c r="I116" s="491"/>
      <c r="J116" s="33">
        <v>137300</v>
      </c>
      <c r="K116" s="33"/>
      <c r="L116" s="33"/>
      <c r="M116" s="33"/>
      <c r="N116" s="33"/>
      <c r="O116" s="33">
        <v>-137300</v>
      </c>
      <c r="P116" s="47"/>
      <c r="Q116" s="48">
        <v>-137300</v>
      </c>
      <c r="R116" s="48"/>
      <c r="S116" s="49"/>
      <c r="T116" s="781">
        <f t="shared" si="29"/>
        <v>0</v>
      </c>
      <c r="U116" s="782"/>
      <c r="V116" s="771" t="s">
        <v>664</v>
      </c>
      <c r="W116" s="33">
        <v>-139000</v>
      </c>
      <c r="X116" s="415">
        <v>139000</v>
      </c>
      <c r="Y116" s="428">
        <v>0</v>
      </c>
      <c r="Z116" s="428">
        <v>139000</v>
      </c>
      <c r="AA116" s="428">
        <v>0</v>
      </c>
      <c r="AB116" s="429"/>
      <c r="AC116" s="424">
        <f t="shared" si="31"/>
        <v>0</v>
      </c>
      <c r="AD116" s="33">
        <v>-139000</v>
      </c>
      <c r="AE116" s="47"/>
      <c r="AF116" s="48">
        <v>-139000</v>
      </c>
      <c r="AG116" s="48"/>
      <c r="AH116" s="49"/>
      <c r="AI116" s="119"/>
      <c r="AJ116" s="149"/>
      <c r="AK116" s="129" t="s">
        <v>664</v>
      </c>
      <c r="AL116" s="66" t="s">
        <v>421</v>
      </c>
      <c r="AM116" s="128">
        <f t="shared" si="30"/>
        <v>0</v>
      </c>
      <c r="AO116" s="209">
        <v>0</v>
      </c>
      <c r="AP116" s="209">
        <v>0</v>
      </c>
      <c r="AQ116" s="209">
        <v>0</v>
      </c>
      <c r="AR116" s="209">
        <v>0</v>
      </c>
      <c r="AS116" s="48">
        <v>-137300</v>
      </c>
      <c r="AT116" s="209">
        <v>0</v>
      </c>
      <c r="AU116" s="210">
        <f t="shared" si="28"/>
        <v>-137300</v>
      </c>
      <c r="AV116" s="207" t="str">
        <f t="shared" si="27"/>
        <v>OK</v>
      </c>
    </row>
    <row r="117" spans="1:48" ht="60.75" customHeight="1">
      <c r="A117" s="99"/>
      <c r="B117" s="91"/>
      <c r="C117" s="38" t="s">
        <v>851</v>
      </c>
      <c r="D117" s="38" t="s">
        <v>63</v>
      </c>
      <c r="E117" s="33">
        <v>243000</v>
      </c>
      <c r="F117" s="430"/>
      <c r="G117" s="430"/>
      <c r="H117" s="624"/>
      <c r="I117" s="625"/>
      <c r="J117" s="33">
        <v>182207</v>
      </c>
      <c r="K117" s="33"/>
      <c r="L117" s="33"/>
      <c r="M117" s="33"/>
      <c r="N117" s="33"/>
      <c r="O117" s="33">
        <v>-182207</v>
      </c>
      <c r="P117" s="47"/>
      <c r="Q117" s="48"/>
      <c r="R117" s="48">
        <v>-180900</v>
      </c>
      <c r="S117" s="49">
        <v>-1307</v>
      </c>
      <c r="T117" s="781">
        <f t="shared" si="29"/>
        <v>0</v>
      </c>
      <c r="U117" s="782"/>
      <c r="V117" s="771" t="s">
        <v>852</v>
      </c>
      <c r="W117" s="33">
        <v>-243000</v>
      </c>
      <c r="X117" s="415">
        <v>274445</v>
      </c>
      <c r="Y117" s="430"/>
      <c r="Z117" s="430"/>
      <c r="AA117" s="430"/>
      <c r="AB117" s="431"/>
      <c r="AC117" s="424">
        <f t="shared" si="31"/>
        <v>274445</v>
      </c>
      <c r="AD117" s="33">
        <v>-274445</v>
      </c>
      <c r="AE117" s="47"/>
      <c r="AF117" s="48"/>
      <c r="AG117" s="48">
        <v>-242700</v>
      </c>
      <c r="AH117" s="49">
        <v>-300</v>
      </c>
      <c r="AI117" s="119"/>
      <c r="AJ117" s="149"/>
      <c r="AK117" s="129" t="s">
        <v>852</v>
      </c>
      <c r="AL117" s="66" t="s">
        <v>421</v>
      </c>
      <c r="AM117" s="128">
        <f t="shared" si="30"/>
        <v>0</v>
      </c>
      <c r="AO117" s="209"/>
      <c r="AP117" s="209"/>
      <c r="AQ117" s="209"/>
      <c r="AR117" s="209"/>
      <c r="AS117" s="209"/>
      <c r="AT117" s="209"/>
      <c r="AU117" s="210">
        <f t="shared" si="28"/>
        <v>0</v>
      </c>
      <c r="AV117" s="207" t="str">
        <f t="shared" si="27"/>
        <v>OK</v>
      </c>
    </row>
    <row r="118" spans="1:48" ht="68.25" customHeight="1">
      <c r="A118" s="99"/>
      <c r="B118" s="90" t="s">
        <v>669</v>
      </c>
      <c r="C118" s="38" t="s">
        <v>674</v>
      </c>
      <c r="D118" s="38"/>
      <c r="E118" s="33">
        <v>11338637</v>
      </c>
      <c r="F118" s="428">
        <v>5710550</v>
      </c>
      <c r="G118" s="428">
        <v>2280186</v>
      </c>
      <c r="H118" s="490">
        <v>3346300</v>
      </c>
      <c r="I118" s="491">
        <v>1601</v>
      </c>
      <c r="J118" s="33">
        <v>9000000</v>
      </c>
      <c r="K118" s="33">
        <v>4647060</v>
      </c>
      <c r="L118" s="33">
        <v>1914747</v>
      </c>
      <c r="M118" s="33">
        <v>2434900</v>
      </c>
      <c r="N118" s="33">
        <v>3293</v>
      </c>
      <c r="O118" s="33">
        <v>-3150000</v>
      </c>
      <c r="P118" s="34">
        <v>-1626471</v>
      </c>
      <c r="Q118" s="48">
        <v>-670161</v>
      </c>
      <c r="R118" s="48">
        <v>-852200</v>
      </c>
      <c r="S118" s="49">
        <v>-1168</v>
      </c>
      <c r="T118" s="781">
        <f t="shared" si="29"/>
        <v>0</v>
      </c>
      <c r="U118" s="782"/>
      <c r="V118" s="771" t="s">
        <v>524</v>
      </c>
      <c r="W118" s="33">
        <v>-3968523</v>
      </c>
      <c r="X118" s="415">
        <v>5482755</v>
      </c>
      <c r="Y118" s="428">
        <v>2733316</v>
      </c>
      <c r="Z118" s="428">
        <v>927228</v>
      </c>
      <c r="AA118" s="428">
        <v>1821900</v>
      </c>
      <c r="AB118" s="429">
        <v>311</v>
      </c>
      <c r="AC118" s="424">
        <v>0</v>
      </c>
      <c r="AD118" s="33">
        <v>-1919000</v>
      </c>
      <c r="AE118" s="34">
        <v>-1998693</v>
      </c>
      <c r="AF118" s="48">
        <v>-798065</v>
      </c>
      <c r="AG118" s="48">
        <v>-1171200</v>
      </c>
      <c r="AH118" s="49">
        <v>-565</v>
      </c>
      <c r="AI118" s="119"/>
      <c r="AJ118" s="149"/>
      <c r="AK118" s="129" t="s">
        <v>524</v>
      </c>
      <c r="AL118" s="66" t="s">
        <v>421</v>
      </c>
      <c r="AM118" s="128">
        <f t="shared" si="30"/>
        <v>0</v>
      </c>
      <c r="AO118" s="48">
        <v>-670161</v>
      </c>
      <c r="AP118" s="209">
        <v>0</v>
      </c>
      <c r="AQ118" s="209">
        <v>0</v>
      </c>
      <c r="AR118" s="209">
        <v>0</v>
      </c>
      <c r="AS118" s="209">
        <v>0</v>
      </c>
      <c r="AT118" s="209">
        <v>0</v>
      </c>
      <c r="AU118" s="210">
        <f t="shared" si="28"/>
        <v>-670161</v>
      </c>
      <c r="AV118" s="207" t="str">
        <f t="shared" si="27"/>
        <v>OK</v>
      </c>
    </row>
    <row r="119" spans="1:48" ht="31.5" customHeight="1">
      <c r="A119" s="99"/>
      <c r="B119" s="92"/>
      <c r="C119" s="38" t="s">
        <v>412</v>
      </c>
      <c r="D119" s="38" t="s">
        <v>413</v>
      </c>
      <c r="E119" s="33">
        <v>491000</v>
      </c>
      <c r="F119" s="428"/>
      <c r="G119" s="428">
        <v>245500</v>
      </c>
      <c r="H119" s="490">
        <v>244000</v>
      </c>
      <c r="I119" s="491">
        <v>1500</v>
      </c>
      <c r="J119" s="33">
        <v>319000</v>
      </c>
      <c r="K119" s="33"/>
      <c r="L119" s="33">
        <v>159500</v>
      </c>
      <c r="M119" s="33">
        <v>155400</v>
      </c>
      <c r="N119" s="33">
        <v>4100</v>
      </c>
      <c r="O119" s="33">
        <v>-111650</v>
      </c>
      <c r="P119" s="34">
        <v>0</v>
      </c>
      <c r="Q119" s="48">
        <v>-55825</v>
      </c>
      <c r="R119" s="48">
        <v>-54300</v>
      </c>
      <c r="S119" s="49">
        <v>-1525</v>
      </c>
      <c r="T119" s="781">
        <f t="shared" si="29"/>
        <v>0</v>
      </c>
      <c r="U119" s="782"/>
      <c r="V119" s="771" t="s">
        <v>524</v>
      </c>
      <c r="W119" s="33">
        <v>-171850</v>
      </c>
      <c r="X119" s="415">
        <v>636000</v>
      </c>
      <c r="Y119" s="428">
        <v>0</v>
      </c>
      <c r="Z119" s="428">
        <v>318000</v>
      </c>
      <c r="AA119" s="428">
        <v>317000</v>
      </c>
      <c r="AB119" s="429">
        <v>1000</v>
      </c>
      <c r="AC119" s="424">
        <v>0</v>
      </c>
      <c r="AD119" s="33">
        <v>-222600</v>
      </c>
      <c r="AE119" s="34"/>
      <c r="AF119" s="48">
        <v>-85925</v>
      </c>
      <c r="AG119" s="48">
        <v>-85400</v>
      </c>
      <c r="AH119" s="49">
        <v>-525</v>
      </c>
      <c r="AI119" s="119"/>
      <c r="AJ119" s="149"/>
      <c r="AK119" s="129" t="s">
        <v>524</v>
      </c>
      <c r="AL119" s="66" t="s">
        <v>421</v>
      </c>
      <c r="AM119" s="128">
        <f t="shared" si="30"/>
        <v>0</v>
      </c>
      <c r="AO119" s="48">
        <v>-55825</v>
      </c>
      <c r="AP119" s="209">
        <v>0</v>
      </c>
      <c r="AQ119" s="209">
        <v>0</v>
      </c>
      <c r="AR119" s="209">
        <v>0</v>
      </c>
      <c r="AS119" s="209">
        <v>0</v>
      </c>
      <c r="AT119" s="209">
        <v>0</v>
      </c>
      <c r="AU119" s="210">
        <f t="shared" si="28"/>
        <v>-55825</v>
      </c>
      <c r="AV119" s="207" t="str">
        <f t="shared" si="27"/>
        <v>OK</v>
      </c>
    </row>
    <row r="120" spans="1:48" ht="66" customHeight="1">
      <c r="A120" s="99"/>
      <c r="B120" s="90" t="s">
        <v>274</v>
      </c>
      <c r="C120" s="38" t="s">
        <v>275</v>
      </c>
      <c r="D120" s="38" t="s">
        <v>561</v>
      </c>
      <c r="E120" s="33">
        <v>1787000</v>
      </c>
      <c r="F120" s="428">
        <v>426000</v>
      </c>
      <c r="G120" s="428">
        <v>7000</v>
      </c>
      <c r="H120" s="490">
        <v>1352000</v>
      </c>
      <c r="I120" s="491">
        <v>2000</v>
      </c>
      <c r="J120" s="33">
        <v>1043000</v>
      </c>
      <c r="K120" s="33">
        <v>275333</v>
      </c>
      <c r="L120" s="33"/>
      <c r="M120" s="33">
        <v>764800</v>
      </c>
      <c r="N120" s="33">
        <v>2867</v>
      </c>
      <c r="O120" s="33">
        <v>-365050</v>
      </c>
      <c r="P120" s="34">
        <v>-96367</v>
      </c>
      <c r="Q120" s="48">
        <v>0</v>
      </c>
      <c r="R120" s="48">
        <v>-267600</v>
      </c>
      <c r="S120" s="49">
        <v>-1083</v>
      </c>
      <c r="T120" s="781">
        <f t="shared" si="29"/>
        <v>0</v>
      </c>
      <c r="U120" s="782"/>
      <c r="V120" s="771" t="s">
        <v>532</v>
      </c>
      <c r="W120" s="33">
        <v>-625450</v>
      </c>
      <c r="X120" s="415">
        <v>1270420</v>
      </c>
      <c r="Y120" s="428">
        <v>442110</v>
      </c>
      <c r="Z120" s="428">
        <v>2100</v>
      </c>
      <c r="AA120" s="428">
        <v>825900</v>
      </c>
      <c r="AB120" s="429">
        <v>310</v>
      </c>
      <c r="AC120" s="424">
        <v>0</v>
      </c>
      <c r="AD120" s="33">
        <v>-444000</v>
      </c>
      <c r="AE120" s="34">
        <v>-149100</v>
      </c>
      <c r="AF120" s="48">
        <v>-2450</v>
      </c>
      <c r="AG120" s="48">
        <v>-473200</v>
      </c>
      <c r="AH120" s="49">
        <v>-700</v>
      </c>
      <c r="AI120" s="119"/>
      <c r="AJ120" s="149"/>
      <c r="AK120" s="129" t="s">
        <v>532</v>
      </c>
      <c r="AL120" s="66" t="s">
        <v>421</v>
      </c>
      <c r="AM120" s="128">
        <f t="shared" si="30"/>
        <v>0</v>
      </c>
      <c r="AO120" s="48"/>
      <c r="AP120" s="48"/>
      <c r="AQ120" s="209"/>
      <c r="AR120" s="209"/>
      <c r="AS120" s="209"/>
      <c r="AT120" s="209"/>
      <c r="AU120" s="210">
        <f t="shared" si="28"/>
        <v>0</v>
      </c>
      <c r="AV120" s="207" t="str">
        <f t="shared" si="27"/>
        <v>OK</v>
      </c>
    </row>
    <row r="121" spans="1:48" ht="41.25" customHeight="1">
      <c r="A121" s="99"/>
      <c r="B121" s="91"/>
      <c r="C121" s="38" t="s">
        <v>276</v>
      </c>
      <c r="D121" s="38" t="s">
        <v>277</v>
      </c>
      <c r="E121" s="33">
        <v>745500</v>
      </c>
      <c r="F121" s="428"/>
      <c r="G121" s="428">
        <v>1500</v>
      </c>
      <c r="H121" s="490">
        <v>743000</v>
      </c>
      <c r="I121" s="491">
        <v>1000</v>
      </c>
      <c r="J121" s="33">
        <v>656768</v>
      </c>
      <c r="K121" s="33"/>
      <c r="L121" s="33">
        <v>1500</v>
      </c>
      <c r="M121" s="33">
        <v>652900</v>
      </c>
      <c r="N121" s="33">
        <v>2368</v>
      </c>
      <c r="O121" s="33">
        <v>-131354</v>
      </c>
      <c r="P121" s="34">
        <v>0</v>
      </c>
      <c r="Q121" s="48">
        <v>-300</v>
      </c>
      <c r="R121" s="48">
        <v>-130500</v>
      </c>
      <c r="S121" s="49">
        <v>-554</v>
      </c>
      <c r="T121" s="781">
        <f t="shared" si="29"/>
        <v>0</v>
      </c>
      <c r="U121" s="782"/>
      <c r="V121" s="771" t="s">
        <v>394</v>
      </c>
      <c r="W121" s="33">
        <f>-E121*0.2</f>
        <v>-149100</v>
      </c>
      <c r="X121" s="415">
        <v>747154</v>
      </c>
      <c r="Y121" s="428">
        <v>0</v>
      </c>
      <c r="Z121" s="428">
        <v>1500</v>
      </c>
      <c r="AA121" s="428">
        <v>745000</v>
      </c>
      <c r="AB121" s="429">
        <v>654</v>
      </c>
      <c r="AC121" s="424">
        <f aca="true" t="shared" si="32" ref="AC121:AC137">X121-Y121-Z121-AA121-AB121</f>
        <v>0</v>
      </c>
      <c r="AD121" s="33">
        <v>-149000</v>
      </c>
      <c r="AE121" s="34">
        <f>F121*0.2</f>
        <v>0</v>
      </c>
      <c r="AF121" s="48">
        <v>-300</v>
      </c>
      <c r="AG121" s="48">
        <v>-148600</v>
      </c>
      <c r="AH121" s="49">
        <v>-200</v>
      </c>
      <c r="AI121" s="119"/>
      <c r="AJ121" s="149"/>
      <c r="AK121" s="129" t="s">
        <v>394</v>
      </c>
      <c r="AL121" s="66" t="s">
        <v>421</v>
      </c>
      <c r="AM121" s="128">
        <f t="shared" si="30"/>
        <v>0</v>
      </c>
      <c r="AO121" s="209">
        <v>0</v>
      </c>
      <c r="AP121" s="209">
        <v>0</v>
      </c>
      <c r="AQ121" s="209">
        <v>0</v>
      </c>
      <c r="AR121" s="48">
        <v>-300</v>
      </c>
      <c r="AS121" s="209">
        <v>0</v>
      </c>
      <c r="AT121" s="209">
        <v>0</v>
      </c>
      <c r="AU121" s="210">
        <f t="shared" si="28"/>
        <v>-300</v>
      </c>
      <c r="AV121" s="207" t="str">
        <f t="shared" si="27"/>
        <v>OK</v>
      </c>
    </row>
    <row r="122" spans="1:48" ht="53.25" customHeight="1">
      <c r="A122" s="99"/>
      <c r="B122" s="91"/>
      <c r="C122" s="38" t="s">
        <v>278</v>
      </c>
      <c r="D122" s="38" t="s">
        <v>279</v>
      </c>
      <c r="E122" s="26">
        <v>272000</v>
      </c>
      <c r="F122" s="428"/>
      <c r="G122" s="428">
        <v>132000</v>
      </c>
      <c r="H122" s="490">
        <v>139000</v>
      </c>
      <c r="I122" s="491">
        <v>1000</v>
      </c>
      <c r="J122" s="26">
        <v>233000</v>
      </c>
      <c r="K122" s="26"/>
      <c r="L122" s="26"/>
      <c r="M122" s="26"/>
      <c r="N122" s="26"/>
      <c r="O122" s="26">
        <v>-233000</v>
      </c>
      <c r="P122" s="47"/>
      <c r="Q122" s="48">
        <v>-114000</v>
      </c>
      <c r="R122" s="48">
        <v>-118100</v>
      </c>
      <c r="S122" s="49">
        <v>-900</v>
      </c>
      <c r="T122" s="781">
        <f t="shared" si="29"/>
        <v>0</v>
      </c>
      <c r="U122" s="782"/>
      <c r="V122" s="771" t="s">
        <v>429</v>
      </c>
      <c r="W122" s="26">
        <f>-E122</f>
        <v>-272000</v>
      </c>
      <c r="X122" s="415">
        <v>601900</v>
      </c>
      <c r="Y122" s="428">
        <v>0</v>
      </c>
      <c r="Z122" s="428">
        <v>186533</v>
      </c>
      <c r="AA122" s="428">
        <v>409900</v>
      </c>
      <c r="AB122" s="429">
        <v>5467</v>
      </c>
      <c r="AC122" s="424">
        <f t="shared" si="32"/>
        <v>0</v>
      </c>
      <c r="AD122" s="26">
        <v>-601900</v>
      </c>
      <c r="AE122" s="47"/>
      <c r="AF122" s="48">
        <v>-132000</v>
      </c>
      <c r="AG122" s="48">
        <v>-139000</v>
      </c>
      <c r="AH122" s="49">
        <v>-1000</v>
      </c>
      <c r="AI122" s="119"/>
      <c r="AJ122" s="149"/>
      <c r="AK122" s="129" t="s">
        <v>429</v>
      </c>
      <c r="AL122" s="66" t="s">
        <v>421</v>
      </c>
      <c r="AM122" s="128">
        <f t="shared" si="30"/>
        <v>0</v>
      </c>
      <c r="AO122" s="48">
        <v>-114000</v>
      </c>
      <c r="AP122" s="209"/>
      <c r="AQ122" s="209"/>
      <c r="AR122" s="209"/>
      <c r="AS122" s="209"/>
      <c r="AT122" s="209"/>
      <c r="AU122" s="210">
        <f t="shared" si="28"/>
        <v>-114000</v>
      </c>
      <c r="AV122" s="207" t="str">
        <f t="shared" si="27"/>
        <v>OK</v>
      </c>
    </row>
    <row r="123" spans="1:48" ht="54" customHeight="1">
      <c r="A123" s="99"/>
      <c r="B123" s="91"/>
      <c r="C123" s="38" t="s">
        <v>281</v>
      </c>
      <c r="D123" s="38" t="s">
        <v>620</v>
      </c>
      <c r="E123" s="33">
        <v>418404</v>
      </c>
      <c r="F123" s="428"/>
      <c r="G123" s="428"/>
      <c r="H123" s="490">
        <v>163100</v>
      </c>
      <c r="I123" s="491">
        <v>255304</v>
      </c>
      <c r="J123" s="33">
        <v>422282</v>
      </c>
      <c r="K123" s="33"/>
      <c r="L123" s="33"/>
      <c r="M123" s="33">
        <v>163000</v>
      </c>
      <c r="N123" s="33">
        <v>259282</v>
      </c>
      <c r="O123" s="33">
        <v>-211141</v>
      </c>
      <c r="P123" s="34">
        <v>0</v>
      </c>
      <c r="Q123" s="48">
        <v>0</v>
      </c>
      <c r="R123" s="48">
        <v>-81500</v>
      </c>
      <c r="S123" s="49">
        <v>-129641</v>
      </c>
      <c r="T123" s="781">
        <f t="shared" si="29"/>
        <v>0</v>
      </c>
      <c r="U123" s="782"/>
      <c r="V123" s="771" t="s">
        <v>533</v>
      </c>
      <c r="W123" s="33">
        <v>-209202</v>
      </c>
      <c r="X123" s="415">
        <v>415628</v>
      </c>
      <c r="Y123" s="428">
        <v>0</v>
      </c>
      <c r="Z123" s="428">
        <v>0</v>
      </c>
      <c r="AA123" s="428">
        <v>163000</v>
      </c>
      <c r="AB123" s="429">
        <v>252628</v>
      </c>
      <c r="AC123" s="424">
        <f t="shared" si="32"/>
        <v>0</v>
      </c>
      <c r="AD123" s="33">
        <v>-208000</v>
      </c>
      <c r="AE123" s="34"/>
      <c r="AF123" s="48"/>
      <c r="AG123" s="48">
        <v>-81600</v>
      </c>
      <c r="AH123" s="49">
        <v>-127602</v>
      </c>
      <c r="AI123" s="119"/>
      <c r="AJ123" s="149"/>
      <c r="AK123" s="129" t="s">
        <v>533</v>
      </c>
      <c r="AL123" s="66" t="s">
        <v>421</v>
      </c>
      <c r="AM123" s="128">
        <f t="shared" si="30"/>
        <v>0</v>
      </c>
      <c r="AO123" s="209"/>
      <c r="AP123" s="209"/>
      <c r="AQ123" s="209"/>
      <c r="AR123" s="209"/>
      <c r="AS123" s="209"/>
      <c r="AT123" s="209"/>
      <c r="AU123" s="210">
        <f t="shared" si="28"/>
        <v>0</v>
      </c>
      <c r="AV123" s="207" t="str">
        <f t="shared" si="27"/>
        <v>OK</v>
      </c>
    </row>
    <row r="124" spans="1:48" ht="54" customHeight="1">
      <c r="A124" s="99"/>
      <c r="B124" s="90" t="s">
        <v>422</v>
      </c>
      <c r="C124" s="38" t="s">
        <v>534</v>
      </c>
      <c r="D124" s="38"/>
      <c r="E124" s="26">
        <v>13479</v>
      </c>
      <c r="F124" s="425">
        <v>4837</v>
      </c>
      <c r="G124" s="425"/>
      <c r="H124" s="617"/>
      <c r="I124" s="617">
        <v>8642</v>
      </c>
      <c r="J124" s="26">
        <v>19581</v>
      </c>
      <c r="K124" s="26">
        <v>8417</v>
      </c>
      <c r="L124" s="26"/>
      <c r="M124" s="26"/>
      <c r="N124" s="26">
        <v>11164</v>
      </c>
      <c r="O124" s="26">
        <v>-9791</v>
      </c>
      <c r="P124" s="34">
        <v>-4209</v>
      </c>
      <c r="Q124" s="48">
        <v>0</v>
      </c>
      <c r="R124" s="48">
        <v>0</v>
      </c>
      <c r="S124" s="49">
        <v>-5582</v>
      </c>
      <c r="T124" s="781">
        <f t="shared" si="29"/>
        <v>0</v>
      </c>
      <c r="U124" s="782"/>
      <c r="V124" s="771" t="s">
        <v>533</v>
      </c>
      <c r="W124" s="26">
        <v>-6740</v>
      </c>
      <c r="X124" s="415">
        <v>10254</v>
      </c>
      <c r="Y124" s="425"/>
      <c r="Z124" s="425"/>
      <c r="AA124" s="425"/>
      <c r="AB124" s="425"/>
      <c r="AC124" s="424">
        <f t="shared" si="32"/>
        <v>10254</v>
      </c>
      <c r="AD124" s="26">
        <v>-5000</v>
      </c>
      <c r="AE124" s="34">
        <v>-2419</v>
      </c>
      <c r="AF124" s="48"/>
      <c r="AG124" s="48"/>
      <c r="AH124" s="49">
        <v>-4321</v>
      </c>
      <c r="AI124" s="119"/>
      <c r="AJ124" s="149"/>
      <c r="AK124" s="129" t="s">
        <v>533</v>
      </c>
      <c r="AL124" s="66" t="s">
        <v>421</v>
      </c>
      <c r="AM124" s="128">
        <f t="shared" si="30"/>
        <v>0</v>
      </c>
      <c r="AO124" s="209"/>
      <c r="AP124" s="209"/>
      <c r="AQ124" s="209"/>
      <c r="AR124" s="209"/>
      <c r="AS124" s="209"/>
      <c r="AT124" s="209"/>
      <c r="AU124" s="210">
        <f t="shared" si="28"/>
        <v>0</v>
      </c>
      <c r="AV124" s="207" t="str">
        <f t="shared" si="27"/>
        <v>OK</v>
      </c>
    </row>
    <row r="125" spans="1:48" ht="60.75" customHeight="1">
      <c r="A125" s="99"/>
      <c r="B125" s="25"/>
      <c r="C125" s="38" t="s">
        <v>282</v>
      </c>
      <c r="D125" s="38" t="s">
        <v>801</v>
      </c>
      <c r="E125" s="33">
        <v>1120000</v>
      </c>
      <c r="F125" s="428">
        <v>616000</v>
      </c>
      <c r="G125" s="428">
        <v>252000</v>
      </c>
      <c r="H125" s="490">
        <v>251400</v>
      </c>
      <c r="I125" s="491">
        <v>600</v>
      </c>
      <c r="J125" s="33">
        <v>1250000</v>
      </c>
      <c r="K125" s="33">
        <v>687500</v>
      </c>
      <c r="L125" s="33">
        <v>281250</v>
      </c>
      <c r="M125" s="33">
        <v>280400</v>
      </c>
      <c r="N125" s="33">
        <v>850</v>
      </c>
      <c r="O125" s="33">
        <v>-437500</v>
      </c>
      <c r="P125" s="34">
        <v>-240625</v>
      </c>
      <c r="Q125" s="48">
        <v>-98438</v>
      </c>
      <c r="R125" s="48">
        <v>-98100</v>
      </c>
      <c r="S125" s="149">
        <v>-337</v>
      </c>
      <c r="T125" s="781">
        <f t="shared" si="29"/>
        <v>0</v>
      </c>
      <c r="U125" s="782"/>
      <c r="V125" s="771" t="s">
        <v>532</v>
      </c>
      <c r="W125" s="33">
        <v>-392000</v>
      </c>
      <c r="X125" s="415">
        <v>1261800</v>
      </c>
      <c r="Y125" s="428">
        <v>692060</v>
      </c>
      <c r="Z125" s="428">
        <v>284870</v>
      </c>
      <c r="AA125" s="428">
        <v>275000</v>
      </c>
      <c r="AB125" s="429">
        <v>9870</v>
      </c>
      <c r="AC125" s="424">
        <f t="shared" si="32"/>
        <v>0</v>
      </c>
      <c r="AD125" s="33">
        <v>-442000</v>
      </c>
      <c r="AE125" s="34">
        <v>-215600</v>
      </c>
      <c r="AF125" s="48">
        <v>-88200</v>
      </c>
      <c r="AG125" s="48">
        <v>-88000</v>
      </c>
      <c r="AH125" s="49">
        <v>-200</v>
      </c>
      <c r="AI125" s="119"/>
      <c r="AJ125" s="149"/>
      <c r="AK125" s="129" t="s">
        <v>532</v>
      </c>
      <c r="AL125" s="66" t="s">
        <v>421</v>
      </c>
      <c r="AM125" s="128">
        <f t="shared" si="30"/>
        <v>0</v>
      </c>
      <c r="AO125" s="48">
        <v>-98438</v>
      </c>
      <c r="AP125" s="209">
        <v>0</v>
      </c>
      <c r="AQ125" s="209">
        <v>0</v>
      </c>
      <c r="AR125" s="209">
        <v>0</v>
      </c>
      <c r="AS125" s="209">
        <v>0</v>
      </c>
      <c r="AT125" s="209">
        <v>0</v>
      </c>
      <c r="AU125" s="210">
        <f t="shared" si="28"/>
        <v>-98438</v>
      </c>
      <c r="AV125" s="207" t="str">
        <f t="shared" si="27"/>
        <v>OK</v>
      </c>
    </row>
    <row r="126" spans="1:48" ht="55.5" customHeight="1">
      <c r="A126" s="99"/>
      <c r="B126" s="91"/>
      <c r="C126" s="38" t="s">
        <v>283</v>
      </c>
      <c r="D126" s="38" t="s">
        <v>670</v>
      </c>
      <c r="E126" s="33">
        <v>1011984</v>
      </c>
      <c r="F126" s="428">
        <v>505992</v>
      </c>
      <c r="G126" s="428"/>
      <c r="H126" s="490">
        <v>505200</v>
      </c>
      <c r="I126" s="491">
        <v>792</v>
      </c>
      <c r="J126" s="33">
        <v>1099060</v>
      </c>
      <c r="K126" s="33">
        <v>549530</v>
      </c>
      <c r="L126" s="33"/>
      <c r="M126" s="33">
        <v>548700</v>
      </c>
      <c r="N126" s="33">
        <v>830</v>
      </c>
      <c r="O126" s="33">
        <v>-384671</v>
      </c>
      <c r="P126" s="34">
        <v>-192336</v>
      </c>
      <c r="Q126" s="48">
        <v>0</v>
      </c>
      <c r="R126" s="48">
        <v>-192000</v>
      </c>
      <c r="S126" s="49">
        <v>-335</v>
      </c>
      <c r="T126" s="781">
        <f t="shared" si="29"/>
        <v>0</v>
      </c>
      <c r="U126" s="782"/>
      <c r="V126" s="771" t="s">
        <v>532</v>
      </c>
      <c r="W126" s="33">
        <v>-354194</v>
      </c>
      <c r="X126" s="415">
        <v>990562</v>
      </c>
      <c r="Y126" s="428">
        <v>495196</v>
      </c>
      <c r="Z126" s="428">
        <v>0</v>
      </c>
      <c r="AA126" s="428">
        <v>493600</v>
      </c>
      <c r="AB126" s="429">
        <v>1766</v>
      </c>
      <c r="AC126" s="424">
        <f t="shared" si="32"/>
        <v>0</v>
      </c>
      <c r="AD126" s="33">
        <v>-347000</v>
      </c>
      <c r="AE126" s="34">
        <v>-177097.2</v>
      </c>
      <c r="AF126" s="48"/>
      <c r="AG126" s="48">
        <v>-176800</v>
      </c>
      <c r="AH126" s="49">
        <v>-297</v>
      </c>
      <c r="AI126" s="119"/>
      <c r="AJ126" s="149"/>
      <c r="AK126" s="129" t="s">
        <v>532</v>
      </c>
      <c r="AL126" s="66" t="s">
        <v>421</v>
      </c>
      <c r="AM126" s="128">
        <f t="shared" si="30"/>
        <v>0.20000000001164153</v>
      </c>
      <c r="AO126" s="209">
        <v>0</v>
      </c>
      <c r="AP126" s="209">
        <v>0</v>
      </c>
      <c r="AQ126" s="209">
        <v>0</v>
      </c>
      <c r="AR126" s="209">
        <v>0</v>
      </c>
      <c r="AS126" s="209">
        <v>0</v>
      </c>
      <c r="AT126" s="209">
        <v>0</v>
      </c>
      <c r="AU126" s="210">
        <f t="shared" si="28"/>
        <v>0</v>
      </c>
      <c r="AV126" s="207" t="str">
        <f t="shared" si="27"/>
        <v>OK</v>
      </c>
    </row>
    <row r="127" spans="1:48" ht="107.25" customHeight="1">
      <c r="A127" s="99"/>
      <c r="B127" s="91"/>
      <c r="C127" s="38" t="s">
        <v>284</v>
      </c>
      <c r="D127" s="38" t="s">
        <v>621</v>
      </c>
      <c r="E127" s="33">
        <v>143488</v>
      </c>
      <c r="F127" s="428"/>
      <c r="G127" s="428"/>
      <c r="H127" s="490">
        <v>142400</v>
      </c>
      <c r="I127" s="491">
        <v>1088</v>
      </c>
      <c r="J127" s="33">
        <v>143488</v>
      </c>
      <c r="K127" s="33"/>
      <c r="L127" s="33"/>
      <c r="M127" s="33"/>
      <c r="N127" s="33"/>
      <c r="O127" s="33">
        <v>-50221</v>
      </c>
      <c r="P127" s="34"/>
      <c r="Q127" s="48"/>
      <c r="R127" s="48">
        <v>-49800</v>
      </c>
      <c r="S127" s="49">
        <v>-421</v>
      </c>
      <c r="T127" s="781">
        <f t="shared" si="29"/>
        <v>0</v>
      </c>
      <c r="U127" s="782"/>
      <c r="V127" s="771" t="s">
        <v>532</v>
      </c>
      <c r="W127" s="33">
        <f>-E127*0.35</f>
        <v>-50220.799999999996</v>
      </c>
      <c r="X127" s="415">
        <v>143488</v>
      </c>
      <c r="Y127" s="428">
        <v>0</v>
      </c>
      <c r="Z127" s="428">
        <v>0</v>
      </c>
      <c r="AA127" s="428">
        <v>143400</v>
      </c>
      <c r="AB127" s="429">
        <v>88</v>
      </c>
      <c r="AC127" s="424">
        <f t="shared" si="32"/>
        <v>0</v>
      </c>
      <c r="AD127" s="33">
        <v>-50000</v>
      </c>
      <c r="AE127" s="34"/>
      <c r="AF127" s="48"/>
      <c r="AG127" s="48">
        <v>-49800</v>
      </c>
      <c r="AH127" s="49">
        <v>-421</v>
      </c>
      <c r="AI127" s="119"/>
      <c r="AJ127" s="149"/>
      <c r="AK127" s="129" t="s">
        <v>532</v>
      </c>
      <c r="AL127" s="66" t="s">
        <v>421</v>
      </c>
      <c r="AM127" s="128">
        <f t="shared" si="30"/>
        <v>0.20000000000436557</v>
      </c>
      <c r="AO127" s="209">
        <v>0</v>
      </c>
      <c r="AP127" s="209">
        <v>0</v>
      </c>
      <c r="AQ127" s="209">
        <v>0</v>
      </c>
      <c r="AR127" s="209">
        <v>0</v>
      </c>
      <c r="AS127" s="209">
        <v>0</v>
      </c>
      <c r="AT127" s="209">
        <v>0</v>
      </c>
      <c r="AU127" s="210">
        <f t="shared" si="28"/>
        <v>0</v>
      </c>
      <c r="AV127" s="207" t="str">
        <f t="shared" si="27"/>
        <v>OK</v>
      </c>
    </row>
    <row r="128" spans="1:49" ht="58.5" customHeight="1">
      <c r="A128" s="99"/>
      <c r="B128" s="91" t="s">
        <v>671</v>
      </c>
      <c r="C128" s="51" t="s">
        <v>704</v>
      </c>
      <c r="D128" s="51" t="s">
        <v>777</v>
      </c>
      <c r="E128" s="30">
        <v>417125</v>
      </c>
      <c r="F128" s="427"/>
      <c r="G128" s="427"/>
      <c r="H128" s="427"/>
      <c r="I128" s="427"/>
      <c r="J128" s="30">
        <v>272171</v>
      </c>
      <c r="K128" s="30"/>
      <c r="L128" s="30"/>
      <c r="M128" s="30"/>
      <c r="N128" s="30"/>
      <c r="O128" s="30">
        <v>50000</v>
      </c>
      <c r="P128" s="52"/>
      <c r="Q128" s="53">
        <v>50000</v>
      </c>
      <c r="R128" s="53"/>
      <c r="S128" s="36"/>
      <c r="T128" s="781">
        <f t="shared" si="29"/>
        <v>0</v>
      </c>
      <c r="U128" s="782"/>
      <c r="V128" s="774" t="s">
        <v>48</v>
      </c>
      <c r="W128" s="30">
        <v>100000</v>
      </c>
      <c r="X128" s="426">
        <v>309315</v>
      </c>
      <c r="Y128" s="427"/>
      <c r="Z128" s="427"/>
      <c r="AA128" s="427"/>
      <c r="AB128" s="427"/>
      <c r="AC128" s="424">
        <f t="shared" si="32"/>
        <v>309315</v>
      </c>
      <c r="AD128" s="30">
        <v>100000</v>
      </c>
      <c r="AE128" s="52"/>
      <c r="AF128" s="53">
        <v>100000</v>
      </c>
      <c r="AG128" s="53"/>
      <c r="AH128" s="36"/>
      <c r="AI128" s="120"/>
      <c r="AJ128" s="67"/>
      <c r="AK128" s="145" t="s">
        <v>48</v>
      </c>
      <c r="AL128" s="66" t="s">
        <v>425</v>
      </c>
      <c r="AM128" s="128">
        <f t="shared" si="30"/>
        <v>0</v>
      </c>
      <c r="AO128" s="209"/>
      <c r="AP128" s="209"/>
      <c r="AQ128" s="209"/>
      <c r="AR128" s="209"/>
      <c r="AS128" s="36"/>
      <c r="AT128" s="53">
        <v>50000</v>
      </c>
      <c r="AU128" s="210">
        <f t="shared" si="28"/>
        <v>50000</v>
      </c>
      <c r="AV128" s="207" t="str">
        <f t="shared" si="27"/>
        <v>OK</v>
      </c>
      <c r="AW128" s="53">
        <v>50000</v>
      </c>
    </row>
    <row r="129" spans="1:49" ht="48" customHeight="1">
      <c r="A129" s="99"/>
      <c r="B129" s="90" t="s">
        <v>27</v>
      </c>
      <c r="C129" s="51" t="s">
        <v>622</v>
      </c>
      <c r="D129" s="51" t="s">
        <v>672</v>
      </c>
      <c r="E129" s="30" t="s">
        <v>442</v>
      </c>
      <c r="F129" s="427"/>
      <c r="G129" s="427"/>
      <c r="H129" s="427"/>
      <c r="I129" s="427"/>
      <c r="J129" s="30" t="s">
        <v>442</v>
      </c>
      <c r="K129" s="30"/>
      <c r="L129" s="30"/>
      <c r="M129" s="30"/>
      <c r="N129" s="30"/>
      <c r="O129" s="30">
        <v>200000</v>
      </c>
      <c r="P129" s="52"/>
      <c r="Q129" s="53">
        <v>200000</v>
      </c>
      <c r="R129" s="53"/>
      <c r="S129" s="36"/>
      <c r="T129" s="781">
        <f t="shared" si="29"/>
        <v>0</v>
      </c>
      <c r="U129" s="782"/>
      <c r="V129" s="774" t="s">
        <v>50</v>
      </c>
      <c r="W129" s="30">
        <v>150000</v>
      </c>
      <c r="X129" s="426" t="s">
        <v>442</v>
      </c>
      <c r="Y129" s="427"/>
      <c r="Z129" s="427"/>
      <c r="AA129" s="427"/>
      <c r="AB129" s="427"/>
      <c r="AC129" s="424" t="e">
        <f t="shared" si="32"/>
        <v>#VALUE!</v>
      </c>
      <c r="AD129" s="30">
        <v>150000</v>
      </c>
      <c r="AE129" s="52"/>
      <c r="AF129" s="53">
        <v>150000</v>
      </c>
      <c r="AG129" s="53"/>
      <c r="AH129" s="36"/>
      <c r="AI129" s="120"/>
      <c r="AJ129" s="67"/>
      <c r="AK129" s="145" t="s">
        <v>50</v>
      </c>
      <c r="AL129" s="66" t="s">
        <v>425</v>
      </c>
      <c r="AM129" s="128">
        <f t="shared" si="30"/>
        <v>0</v>
      </c>
      <c r="AO129" s="209"/>
      <c r="AP129" s="209"/>
      <c r="AQ129" s="209"/>
      <c r="AR129" s="209"/>
      <c r="AS129" s="53"/>
      <c r="AT129" s="53">
        <v>200000</v>
      </c>
      <c r="AU129" s="210">
        <f t="shared" si="28"/>
        <v>200000</v>
      </c>
      <c r="AV129" s="207" t="str">
        <f aca="true" t="shared" si="33" ref="AV129:AV158">IF(Q129=AU129,"OK","OUT")</f>
        <v>OK</v>
      </c>
      <c r="AW129" s="53">
        <v>200000</v>
      </c>
    </row>
    <row r="130" spans="1:48" ht="46.5" customHeight="1">
      <c r="A130" s="99"/>
      <c r="B130" s="148"/>
      <c r="C130" s="56"/>
      <c r="D130" s="51" t="s">
        <v>535</v>
      </c>
      <c r="E130" s="30">
        <v>4950</v>
      </c>
      <c r="F130" s="427"/>
      <c r="G130" s="427">
        <v>607</v>
      </c>
      <c r="H130" s="427"/>
      <c r="I130" s="427">
        <v>4343</v>
      </c>
      <c r="J130" s="30">
        <v>4950</v>
      </c>
      <c r="K130" s="30"/>
      <c r="L130" s="30"/>
      <c r="M130" s="30"/>
      <c r="N130" s="30"/>
      <c r="O130" s="30">
        <v>-4950</v>
      </c>
      <c r="P130" s="52"/>
      <c r="Q130" s="53">
        <v>-607</v>
      </c>
      <c r="R130" s="53"/>
      <c r="S130" s="36">
        <v>-4343</v>
      </c>
      <c r="T130" s="781">
        <f t="shared" si="29"/>
        <v>0</v>
      </c>
      <c r="U130" s="782"/>
      <c r="V130" s="774" t="s">
        <v>857</v>
      </c>
      <c r="W130" s="30">
        <v>-4950</v>
      </c>
      <c r="X130" s="426">
        <v>4950</v>
      </c>
      <c r="Y130" s="427"/>
      <c r="Z130" s="427"/>
      <c r="AA130" s="427"/>
      <c r="AB130" s="427"/>
      <c r="AC130" s="424">
        <f t="shared" si="32"/>
        <v>4950</v>
      </c>
      <c r="AD130" s="30">
        <v>-4950</v>
      </c>
      <c r="AE130" s="52"/>
      <c r="AF130" s="53">
        <v>-607</v>
      </c>
      <c r="AG130" s="53"/>
      <c r="AH130" s="36">
        <v>-4343</v>
      </c>
      <c r="AI130" s="120"/>
      <c r="AJ130" s="67"/>
      <c r="AK130" s="145" t="s">
        <v>857</v>
      </c>
      <c r="AL130" s="66" t="s">
        <v>421</v>
      </c>
      <c r="AM130" s="128">
        <f t="shared" si="30"/>
        <v>0</v>
      </c>
      <c r="AO130" s="209"/>
      <c r="AP130" s="53">
        <v>-607</v>
      </c>
      <c r="AQ130" s="209"/>
      <c r="AR130" s="209"/>
      <c r="AS130" s="209"/>
      <c r="AT130" s="209"/>
      <c r="AU130" s="210">
        <f t="shared" si="28"/>
        <v>-607</v>
      </c>
      <c r="AV130" s="207" t="str">
        <f t="shared" si="33"/>
        <v>OK</v>
      </c>
    </row>
    <row r="131" spans="1:49" ht="55.5" customHeight="1" thickBot="1">
      <c r="A131" s="99"/>
      <c r="B131" s="25"/>
      <c r="C131" s="51" t="s">
        <v>746</v>
      </c>
      <c r="D131" s="51"/>
      <c r="E131" s="30">
        <v>275910</v>
      </c>
      <c r="F131" s="427">
        <v>16969</v>
      </c>
      <c r="G131" s="427"/>
      <c r="H131" s="427"/>
      <c r="I131" s="427">
        <v>258941</v>
      </c>
      <c r="J131" s="30">
        <v>298183</v>
      </c>
      <c r="K131" s="30"/>
      <c r="L131" s="30"/>
      <c r="M131" s="30"/>
      <c r="N131" s="30"/>
      <c r="O131" s="30">
        <v>50000</v>
      </c>
      <c r="P131" s="52"/>
      <c r="Q131" s="40">
        <v>50000</v>
      </c>
      <c r="R131" s="40"/>
      <c r="S131" s="36"/>
      <c r="T131" s="781">
        <f t="shared" si="29"/>
        <v>0</v>
      </c>
      <c r="U131" s="782"/>
      <c r="V131" s="774" t="s">
        <v>49</v>
      </c>
      <c r="W131" s="30">
        <v>100000</v>
      </c>
      <c r="X131" s="426">
        <v>268820</v>
      </c>
      <c r="Y131" s="427"/>
      <c r="Z131" s="427"/>
      <c r="AA131" s="427"/>
      <c r="AB131" s="427"/>
      <c r="AC131" s="424">
        <f t="shared" si="32"/>
        <v>268820</v>
      </c>
      <c r="AD131" s="30">
        <v>150000</v>
      </c>
      <c r="AE131" s="52"/>
      <c r="AF131" s="40">
        <v>100000</v>
      </c>
      <c r="AG131" s="40"/>
      <c r="AH131" s="36"/>
      <c r="AI131" s="120"/>
      <c r="AJ131" s="67"/>
      <c r="AK131" s="145" t="s">
        <v>49</v>
      </c>
      <c r="AL131" s="66" t="s">
        <v>425</v>
      </c>
      <c r="AM131" s="128">
        <f t="shared" si="30"/>
        <v>0</v>
      </c>
      <c r="AO131" s="209"/>
      <c r="AP131" s="209"/>
      <c r="AQ131" s="209"/>
      <c r="AR131" s="209"/>
      <c r="AS131" s="53"/>
      <c r="AT131" s="40">
        <v>50000</v>
      </c>
      <c r="AU131" s="210">
        <f t="shared" si="28"/>
        <v>50000</v>
      </c>
      <c r="AV131" s="207" t="str">
        <f t="shared" si="33"/>
        <v>OK</v>
      </c>
      <c r="AW131" s="40">
        <v>50000</v>
      </c>
    </row>
    <row r="132" spans="1:48" ht="31.5" customHeight="1" thickBot="1">
      <c r="A132" s="95"/>
      <c r="B132" s="96"/>
      <c r="C132" s="57"/>
      <c r="D132" s="57" t="s">
        <v>403</v>
      </c>
      <c r="E132" s="59">
        <f>SUM(E85:E131)</f>
        <v>87669148</v>
      </c>
      <c r="F132" s="373"/>
      <c r="G132" s="373"/>
      <c r="H132" s="373"/>
      <c r="I132" s="373"/>
      <c r="J132" s="59">
        <f>SUM(J85:J131)</f>
        <v>72918723</v>
      </c>
      <c r="K132" s="59"/>
      <c r="L132" s="59"/>
      <c r="M132" s="59"/>
      <c r="N132" s="59"/>
      <c r="O132" s="669">
        <f>SUM(O85:O131)</f>
        <v>-41967710</v>
      </c>
      <c r="P132" s="101">
        <f>SUM(P85:P131)</f>
        <v>-9256104</v>
      </c>
      <c r="Q132" s="61">
        <f>SUM(Q85:Q131)</f>
        <v>-1425353</v>
      </c>
      <c r="R132" s="61">
        <f>SUM(R85:R131)</f>
        <v>-28683800</v>
      </c>
      <c r="S132" s="64">
        <f>SUM(S85:S131)</f>
        <v>-2602453</v>
      </c>
      <c r="T132" s="781">
        <f t="shared" si="29"/>
        <v>0</v>
      </c>
      <c r="U132" s="782"/>
      <c r="V132" s="590"/>
      <c r="W132" s="59">
        <f>SUM(W85:W131)</f>
        <v>-47740621.8</v>
      </c>
      <c r="X132" s="422">
        <f>SUM(X85:X131)</f>
        <v>81865806</v>
      </c>
      <c r="Y132" s="373"/>
      <c r="Z132" s="373"/>
      <c r="AA132" s="373"/>
      <c r="AB132" s="373"/>
      <c r="AC132" s="424">
        <f t="shared" si="32"/>
        <v>81865806</v>
      </c>
      <c r="AD132" s="59">
        <f>SUM(AD85:AD131)</f>
        <v>-49231809</v>
      </c>
      <c r="AE132" s="68">
        <f>SUM(AE85:AE131)</f>
        <v>-11216121.2</v>
      </c>
      <c r="AF132" s="61">
        <f>SUM(AF85:AF131)</f>
        <v>-1856805</v>
      </c>
      <c r="AG132" s="61">
        <f>SUM(AG85:AG131)</f>
        <v>-32200100</v>
      </c>
      <c r="AH132" s="64">
        <f>SUM(AH85:AH131)</f>
        <v>-2467596</v>
      </c>
      <c r="AI132" s="68"/>
      <c r="AJ132" s="64"/>
      <c r="AK132" s="144"/>
      <c r="AM132" s="128">
        <f t="shared" si="30"/>
        <v>0.4000000059604645</v>
      </c>
      <c r="AO132" s="59">
        <f aca="true" t="shared" si="34" ref="AO132:AT132">SUM(AO85:AO131)</f>
        <v>-1439260</v>
      </c>
      <c r="AP132" s="59">
        <f t="shared" si="34"/>
        <v>-6986</v>
      </c>
      <c r="AQ132" s="59">
        <f t="shared" si="34"/>
        <v>0</v>
      </c>
      <c r="AR132" s="59">
        <f t="shared" si="34"/>
        <v>-300</v>
      </c>
      <c r="AS132" s="59">
        <f t="shared" si="34"/>
        <v>-137300</v>
      </c>
      <c r="AT132" s="59">
        <f t="shared" si="34"/>
        <v>158493</v>
      </c>
      <c r="AU132" s="210">
        <f t="shared" si="28"/>
        <v>-1425353</v>
      </c>
      <c r="AV132" s="207" t="str">
        <f t="shared" si="33"/>
        <v>OK</v>
      </c>
    </row>
    <row r="133" spans="1:48" ht="38.25" customHeight="1">
      <c r="A133" s="88" t="s">
        <v>416</v>
      </c>
      <c r="B133" s="93" t="s">
        <v>536</v>
      </c>
      <c r="C133" s="38" t="s">
        <v>536</v>
      </c>
      <c r="D133" s="38" t="s">
        <v>569</v>
      </c>
      <c r="E133" s="26">
        <v>901333</v>
      </c>
      <c r="F133" s="416"/>
      <c r="G133" s="416"/>
      <c r="H133" s="416"/>
      <c r="I133" s="416"/>
      <c r="J133" s="26">
        <v>908943</v>
      </c>
      <c r="K133" s="26"/>
      <c r="L133" s="26"/>
      <c r="M133" s="26"/>
      <c r="N133" s="26"/>
      <c r="O133" s="26">
        <v>48430</v>
      </c>
      <c r="P133" s="47"/>
      <c r="Q133" s="48"/>
      <c r="R133" s="48"/>
      <c r="S133" s="49">
        <v>48430</v>
      </c>
      <c r="T133" s="781">
        <f t="shared" si="29"/>
        <v>0</v>
      </c>
      <c r="U133" s="782"/>
      <c r="V133" s="771" t="s">
        <v>562</v>
      </c>
      <c r="W133" s="26">
        <f>X133-E133</f>
        <v>56040</v>
      </c>
      <c r="X133" s="415">
        <v>957373</v>
      </c>
      <c r="Y133" s="416"/>
      <c r="Z133" s="416"/>
      <c r="AA133" s="416"/>
      <c r="AB133" s="416"/>
      <c r="AC133" s="424">
        <f t="shared" si="32"/>
        <v>957373</v>
      </c>
      <c r="AD133" s="26">
        <v>37559</v>
      </c>
      <c r="AE133" s="47"/>
      <c r="AF133" s="48"/>
      <c r="AG133" s="48"/>
      <c r="AH133" s="49">
        <v>56040</v>
      </c>
      <c r="AI133" s="119"/>
      <c r="AJ133" s="149"/>
      <c r="AK133" s="129" t="s">
        <v>821</v>
      </c>
      <c r="AL133" s="66" t="s">
        <v>425</v>
      </c>
      <c r="AM133" s="128">
        <f t="shared" si="30"/>
        <v>0</v>
      </c>
      <c r="AO133" s="25"/>
      <c r="AU133" s="210">
        <f aca="true" t="shared" si="35" ref="AU133:AU157">SUM(AO133:AT133)</f>
        <v>0</v>
      </c>
      <c r="AV133" s="207" t="str">
        <f t="shared" si="33"/>
        <v>OK</v>
      </c>
    </row>
    <row r="134" spans="1:48" ht="42" customHeight="1" thickBot="1">
      <c r="A134" s="99"/>
      <c r="B134" s="90" t="s">
        <v>400</v>
      </c>
      <c r="C134" s="51" t="s">
        <v>401</v>
      </c>
      <c r="D134" s="51" t="s">
        <v>402</v>
      </c>
      <c r="E134" s="30">
        <v>9200</v>
      </c>
      <c r="F134" s="427"/>
      <c r="G134" s="427"/>
      <c r="H134" s="427"/>
      <c r="I134" s="427"/>
      <c r="J134" s="30">
        <v>92000</v>
      </c>
      <c r="K134" s="30"/>
      <c r="L134" s="30"/>
      <c r="M134" s="30"/>
      <c r="N134" s="30"/>
      <c r="O134" s="30">
        <v>-46000</v>
      </c>
      <c r="P134" s="52">
        <v>-23000</v>
      </c>
      <c r="Q134" s="53"/>
      <c r="R134" s="53"/>
      <c r="S134" s="36">
        <v>-23000</v>
      </c>
      <c r="T134" s="781">
        <f aca="true" t="shared" si="36" ref="T134:T158">O134-P134-Q134-R134-S134</f>
        <v>0</v>
      </c>
      <c r="U134" s="782"/>
      <c r="V134" s="774" t="s">
        <v>656</v>
      </c>
      <c r="W134" s="30">
        <v>-4600</v>
      </c>
      <c r="X134" s="426">
        <v>92000</v>
      </c>
      <c r="Y134" s="427"/>
      <c r="Z134" s="427"/>
      <c r="AA134" s="427"/>
      <c r="AB134" s="427"/>
      <c r="AC134" s="430">
        <f t="shared" si="32"/>
        <v>92000</v>
      </c>
      <c r="AD134" s="30">
        <v>-46000</v>
      </c>
      <c r="AE134" s="52">
        <v>-2300</v>
      </c>
      <c r="AF134" s="53"/>
      <c r="AG134" s="53"/>
      <c r="AH134" s="36">
        <v>-2300</v>
      </c>
      <c r="AI134" s="120"/>
      <c r="AJ134" s="67"/>
      <c r="AK134" s="145" t="s">
        <v>656</v>
      </c>
      <c r="AL134" s="66" t="s">
        <v>421</v>
      </c>
      <c r="AM134" s="128">
        <f aca="true" t="shared" si="37" ref="AM134:AM158">W134-AE134-AF134-AG134-AH134</f>
        <v>0</v>
      </c>
      <c r="AO134" s="25"/>
      <c r="AP134" s="48"/>
      <c r="AS134" s="25"/>
      <c r="AU134" s="210">
        <f t="shared" si="35"/>
        <v>0</v>
      </c>
      <c r="AV134" s="207" t="str">
        <f t="shared" si="33"/>
        <v>OK</v>
      </c>
    </row>
    <row r="135" spans="1:48" ht="31.5" customHeight="1" thickBot="1">
      <c r="A135" s="95"/>
      <c r="B135" s="96"/>
      <c r="C135" s="57"/>
      <c r="D135" s="57" t="s">
        <v>403</v>
      </c>
      <c r="E135" s="333">
        <f>SUM(E133:E134)</f>
        <v>910533</v>
      </c>
      <c r="F135" s="373"/>
      <c r="G135" s="373"/>
      <c r="H135" s="373"/>
      <c r="I135" s="373"/>
      <c r="J135" s="333">
        <f>SUM(J133:J134)</f>
        <v>1000943</v>
      </c>
      <c r="K135" s="333"/>
      <c r="L135" s="333"/>
      <c r="M135" s="333"/>
      <c r="N135" s="333"/>
      <c r="O135" s="670">
        <f>SUM(O133:O134)</f>
        <v>2430</v>
      </c>
      <c r="P135" s="121">
        <f>SUM(P133:P134)</f>
        <v>-23000</v>
      </c>
      <c r="Q135" s="105">
        <f>SUM(Q133:Q134)</f>
        <v>0</v>
      </c>
      <c r="R135" s="105">
        <f>SUM(R133:R134)</f>
        <v>0</v>
      </c>
      <c r="S135" s="106">
        <f>SUM(S133:S134)</f>
        <v>25430</v>
      </c>
      <c r="T135" s="781">
        <f t="shared" si="36"/>
        <v>0</v>
      </c>
      <c r="U135" s="782"/>
      <c r="V135" s="590"/>
      <c r="W135" s="333">
        <f>SUM(W133:W134)</f>
        <v>51440</v>
      </c>
      <c r="X135" s="422">
        <f>SUM(X133:X134)</f>
        <v>1049373</v>
      </c>
      <c r="Y135" s="373"/>
      <c r="Z135" s="373"/>
      <c r="AA135" s="373"/>
      <c r="AB135" s="373"/>
      <c r="AC135" s="374">
        <f t="shared" si="32"/>
        <v>1049373</v>
      </c>
      <c r="AD135" s="333">
        <f>SUM(AD133:AD134)</f>
        <v>-8441</v>
      </c>
      <c r="AE135" s="121">
        <f>SUM(AE133:AE134)</f>
        <v>-2300</v>
      </c>
      <c r="AF135" s="105">
        <f>SUM(AF133:AF134)</f>
        <v>0</v>
      </c>
      <c r="AG135" s="105">
        <f>SUM(AG133:AG134)</f>
        <v>0</v>
      </c>
      <c r="AH135" s="106">
        <f>SUM(AH133:AH134)</f>
        <v>53740</v>
      </c>
      <c r="AI135" s="121"/>
      <c r="AJ135" s="106"/>
      <c r="AK135" s="144"/>
      <c r="AM135" s="128">
        <f t="shared" si="37"/>
        <v>0</v>
      </c>
      <c r="AO135" s="103">
        <f aca="true" t="shared" si="38" ref="AO135:AT135">SUM(AO133:AO134)</f>
        <v>0</v>
      </c>
      <c r="AP135" s="103">
        <f t="shared" si="38"/>
        <v>0</v>
      </c>
      <c r="AQ135" s="103">
        <f t="shared" si="38"/>
        <v>0</v>
      </c>
      <c r="AR135" s="103">
        <f t="shared" si="38"/>
        <v>0</v>
      </c>
      <c r="AS135" s="103">
        <f t="shared" si="38"/>
        <v>0</v>
      </c>
      <c r="AT135" s="103">
        <f t="shared" si="38"/>
        <v>0</v>
      </c>
      <c r="AU135" s="210">
        <f t="shared" si="35"/>
        <v>0</v>
      </c>
      <c r="AV135" s="207" t="str">
        <f t="shared" si="33"/>
        <v>OK</v>
      </c>
    </row>
    <row r="136" spans="1:48" ht="40.5" customHeight="1">
      <c r="A136" s="89" t="s">
        <v>415</v>
      </c>
      <c r="B136" s="217" t="s">
        <v>571</v>
      </c>
      <c r="C136" s="50" t="s">
        <v>589</v>
      </c>
      <c r="D136" s="50"/>
      <c r="E136" s="334">
        <v>2732</v>
      </c>
      <c r="F136" s="414"/>
      <c r="G136" s="414"/>
      <c r="H136" s="414"/>
      <c r="I136" s="414"/>
      <c r="J136" s="334">
        <v>2703</v>
      </c>
      <c r="K136" s="334"/>
      <c r="L136" s="334"/>
      <c r="M136" s="334"/>
      <c r="N136" s="334"/>
      <c r="O136" s="334">
        <v>-2703</v>
      </c>
      <c r="P136" s="176"/>
      <c r="Q136" s="184"/>
      <c r="R136" s="184"/>
      <c r="S136" s="185">
        <v>-2703</v>
      </c>
      <c r="T136" s="781">
        <f t="shared" si="36"/>
        <v>0</v>
      </c>
      <c r="U136" s="782"/>
      <c r="V136" s="770" t="s">
        <v>590</v>
      </c>
      <c r="W136" s="334">
        <v>-2732</v>
      </c>
      <c r="X136" s="413">
        <v>3418</v>
      </c>
      <c r="Y136" s="414"/>
      <c r="Z136" s="414"/>
      <c r="AA136" s="414"/>
      <c r="AB136" s="414"/>
      <c r="AC136" s="424">
        <f t="shared" si="32"/>
        <v>3418</v>
      </c>
      <c r="AD136" s="334">
        <v>-3418</v>
      </c>
      <c r="AE136" s="176"/>
      <c r="AF136" s="184"/>
      <c r="AG136" s="184"/>
      <c r="AH136" s="185">
        <v>-2732</v>
      </c>
      <c r="AI136" s="176"/>
      <c r="AJ136" s="186"/>
      <c r="AK136" s="142" t="s">
        <v>590</v>
      </c>
      <c r="AL136" s="66" t="s">
        <v>421</v>
      </c>
      <c r="AM136" s="128">
        <f t="shared" si="37"/>
        <v>0</v>
      </c>
      <c r="AU136" s="210">
        <f t="shared" si="35"/>
        <v>0</v>
      </c>
      <c r="AV136" s="207" t="str">
        <f t="shared" si="33"/>
        <v>OK</v>
      </c>
    </row>
    <row r="137" spans="1:48" ht="58.5" customHeight="1">
      <c r="A137" s="222"/>
      <c r="B137" s="217" t="s">
        <v>423</v>
      </c>
      <c r="C137" s="56" t="s">
        <v>751</v>
      </c>
      <c r="D137" s="38" t="s">
        <v>807</v>
      </c>
      <c r="E137" s="332">
        <v>5342</v>
      </c>
      <c r="F137" s="416"/>
      <c r="G137" s="416"/>
      <c r="H137" s="416"/>
      <c r="I137" s="416"/>
      <c r="J137" s="332">
        <v>4776</v>
      </c>
      <c r="K137" s="332"/>
      <c r="L137" s="332"/>
      <c r="M137" s="332"/>
      <c r="N137" s="332"/>
      <c r="O137" s="332">
        <v>-4776</v>
      </c>
      <c r="P137" s="320"/>
      <c r="Q137" s="187"/>
      <c r="R137" s="187"/>
      <c r="S137" s="188">
        <v>-4776</v>
      </c>
      <c r="T137" s="781">
        <f t="shared" si="36"/>
        <v>0</v>
      </c>
      <c r="U137" s="782"/>
      <c r="V137" s="771"/>
      <c r="W137" s="332">
        <v>-5342</v>
      </c>
      <c r="X137" s="415">
        <v>10485</v>
      </c>
      <c r="Y137" s="416"/>
      <c r="Z137" s="416"/>
      <c r="AA137" s="416"/>
      <c r="AB137" s="416"/>
      <c r="AC137" s="424">
        <f t="shared" si="32"/>
        <v>10485</v>
      </c>
      <c r="AD137" s="332">
        <v>-10485</v>
      </c>
      <c r="AE137" s="320"/>
      <c r="AF137" s="187"/>
      <c r="AG137" s="187"/>
      <c r="AH137" s="188">
        <v>-5342</v>
      </c>
      <c r="AI137" s="177"/>
      <c r="AJ137" s="189"/>
      <c r="AK137" s="129"/>
      <c r="AL137" s="66" t="s">
        <v>421</v>
      </c>
      <c r="AM137" s="128">
        <f t="shared" si="37"/>
        <v>0</v>
      </c>
      <c r="AU137" s="210">
        <f t="shared" si="35"/>
        <v>0</v>
      </c>
      <c r="AV137" s="207" t="str">
        <f t="shared" si="33"/>
        <v>OK</v>
      </c>
    </row>
    <row r="138" spans="1:48" ht="67.5" customHeight="1">
      <c r="A138" s="222"/>
      <c r="B138" s="217"/>
      <c r="C138" s="56"/>
      <c r="D138" s="38" t="s">
        <v>663</v>
      </c>
      <c r="E138" s="332">
        <v>85061</v>
      </c>
      <c r="F138" s="416"/>
      <c r="G138" s="416"/>
      <c r="H138" s="416"/>
      <c r="I138" s="416"/>
      <c r="J138" s="332">
        <v>27075</v>
      </c>
      <c r="K138" s="332"/>
      <c r="L138" s="332"/>
      <c r="M138" s="332"/>
      <c r="N138" s="332"/>
      <c r="O138" s="332">
        <f>-J138</f>
        <v>-27075</v>
      </c>
      <c r="P138" s="320"/>
      <c r="Q138" s="187">
        <v>-27075</v>
      </c>
      <c r="R138" s="187"/>
      <c r="S138" s="188"/>
      <c r="T138" s="781">
        <f t="shared" si="36"/>
        <v>0</v>
      </c>
      <c r="U138" s="782"/>
      <c r="V138" s="771"/>
      <c r="W138" s="332">
        <v>-85061</v>
      </c>
      <c r="X138" s="415"/>
      <c r="Y138" s="416"/>
      <c r="Z138" s="416"/>
      <c r="AA138" s="416"/>
      <c r="AB138" s="416"/>
      <c r="AC138" s="424"/>
      <c r="AD138" s="332"/>
      <c r="AE138" s="320"/>
      <c r="AF138" s="187"/>
      <c r="AG138" s="187"/>
      <c r="AH138" s="188">
        <v>-85061</v>
      </c>
      <c r="AI138" s="177"/>
      <c r="AJ138" s="189"/>
      <c r="AK138" s="129"/>
      <c r="AL138" s="66" t="s">
        <v>421</v>
      </c>
      <c r="AM138" s="128">
        <f t="shared" si="37"/>
        <v>0</v>
      </c>
      <c r="AS138" s="187">
        <v>-27075</v>
      </c>
      <c r="AU138" s="210">
        <f t="shared" si="35"/>
        <v>-27075</v>
      </c>
      <c r="AV138" s="207" t="str">
        <f t="shared" si="33"/>
        <v>OK</v>
      </c>
    </row>
    <row r="139" spans="1:48" ht="67.5" customHeight="1">
      <c r="A139" s="222"/>
      <c r="B139" s="217"/>
      <c r="C139" s="56"/>
      <c r="D139" s="50" t="s">
        <v>864</v>
      </c>
      <c r="E139" s="334">
        <v>1605</v>
      </c>
      <c r="F139" s="414"/>
      <c r="G139" s="414"/>
      <c r="H139" s="414"/>
      <c r="I139" s="414"/>
      <c r="J139" s="334">
        <v>1500</v>
      </c>
      <c r="K139" s="334"/>
      <c r="L139" s="334"/>
      <c r="M139" s="334"/>
      <c r="N139" s="334"/>
      <c r="O139" s="334">
        <v>-1500</v>
      </c>
      <c r="P139" s="398"/>
      <c r="Q139" s="184"/>
      <c r="R139" s="184"/>
      <c r="S139" s="185">
        <v>-1500</v>
      </c>
      <c r="T139" s="781">
        <f t="shared" si="36"/>
        <v>0</v>
      </c>
      <c r="U139" s="782"/>
      <c r="V139" s="770" t="s">
        <v>298</v>
      </c>
      <c r="W139" s="334">
        <v>-1605</v>
      </c>
      <c r="X139" s="413">
        <v>2947</v>
      </c>
      <c r="Y139" s="414"/>
      <c r="Z139" s="414"/>
      <c r="AA139" s="414"/>
      <c r="AB139" s="414"/>
      <c r="AC139" s="424">
        <f aca="true" t="shared" si="39" ref="AC139:AC155">X139-Y139-Z139-AA139-AB139</f>
        <v>2947</v>
      </c>
      <c r="AD139" s="334">
        <v>-2947</v>
      </c>
      <c r="AE139" s="398"/>
      <c r="AF139" s="184"/>
      <c r="AG139" s="184"/>
      <c r="AH139" s="185">
        <v>-1605</v>
      </c>
      <c r="AI139" s="176"/>
      <c r="AJ139" s="186"/>
      <c r="AK139" s="142" t="s">
        <v>298</v>
      </c>
      <c r="AL139" s="66" t="s">
        <v>752</v>
      </c>
      <c r="AM139" s="128">
        <f t="shared" si="37"/>
        <v>0</v>
      </c>
      <c r="AU139" s="210">
        <f t="shared" si="35"/>
        <v>0</v>
      </c>
      <c r="AV139" s="207" t="str">
        <f t="shared" si="33"/>
        <v>OK</v>
      </c>
    </row>
    <row r="140" spans="1:49" ht="52.5" customHeight="1">
      <c r="A140" s="89"/>
      <c r="B140" s="217"/>
      <c r="C140" s="38" t="s">
        <v>753</v>
      </c>
      <c r="D140" s="38" t="s">
        <v>767</v>
      </c>
      <c r="E140" s="332">
        <v>2011082</v>
      </c>
      <c r="F140" s="416"/>
      <c r="G140" s="416"/>
      <c r="H140" s="416"/>
      <c r="I140" s="416"/>
      <c r="J140" s="332">
        <v>1788990</v>
      </c>
      <c r="K140" s="332"/>
      <c r="L140" s="332"/>
      <c r="M140" s="332"/>
      <c r="N140" s="332"/>
      <c r="O140" s="332">
        <v>7737</v>
      </c>
      <c r="P140" s="320"/>
      <c r="Q140" s="187"/>
      <c r="R140" s="187"/>
      <c r="S140" s="188">
        <v>7737</v>
      </c>
      <c r="T140" s="781">
        <f t="shared" si="36"/>
        <v>0</v>
      </c>
      <c r="U140" s="782"/>
      <c r="V140" s="771" t="s">
        <v>0</v>
      </c>
      <c r="W140" s="332">
        <v>7737</v>
      </c>
      <c r="X140" s="415">
        <v>1849128</v>
      </c>
      <c r="Y140" s="416"/>
      <c r="Z140" s="416"/>
      <c r="AA140" s="416"/>
      <c r="AB140" s="416"/>
      <c r="AC140" s="424">
        <f t="shared" si="39"/>
        <v>1849128</v>
      </c>
      <c r="AD140" s="332">
        <v>7762</v>
      </c>
      <c r="AE140" s="320"/>
      <c r="AF140" s="187"/>
      <c r="AG140" s="187"/>
      <c r="AH140" s="188">
        <v>7737</v>
      </c>
      <c r="AI140" s="177"/>
      <c r="AJ140" s="189"/>
      <c r="AK140" s="129" t="s">
        <v>0</v>
      </c>
      <c r="AL140" s="66" t="s">
        <v>425</v>
      </c>
      <c r="AM140" s="128">
        <f t="shared" si="37"/>
        <v>0</v>
      </c>
      <c r="AU140" s="210">
        <f t="shared" si="35"/>
        <v>0</v>
      </c>
      <c r="AV140" s="207" t="str">
        <f t="shared" si="33"/>
        <v>OK</v>
      </c>
      <c r="AW140" s="25"/>
    </row>
    <row r="141" spans="1:49" ht="52.5" customHeight="1">
      <c r="A141" s="89"/>
      <c r="B141" s="217"/>
      <c r="C141" s="38" t="s">
        <v>596</v>
      </c>
      <c r="D141" s="38" t="s">
        <v>597</v>
      </c>
      <c r="E141" s="332">
        <v>21095</v>
      </c>
      <c r="F141" s="416"/>
      <c r="G141" s="416"/>
      <c r="H141" s="416"/>
      <c r="I141" s="416"/>
      <c r="J141" s="332">
        <v>19442</v>
      </c>
      <c r="K141" s="332"/>
      <c r="L141" s="332"/>
      <c r="M141" s="332"/>
      <c r="N141" s="332"/>
      <c r="O141" s="332">
        <v>-19442</v>
      </c>
      <c r="P141" s="320"/>
      <c r="Q141" s="187"/>
      <c r="R141" s="187"/>
      <c r="S141" s="188">
        <v>-19442</v>
      </c>
      <c r="T141" s="781">
        <f t="shared" si="36"/>
        <v>0</v>
      </c>
      <c r="U141" s="782"/>
      <c r="V141" s="771"/>
      <c r="W141" s="332">
        <v>-21095</v>
      </c>
      <c r="X141" s="415">
        <v>20796</v>
      </c>
      <c r="Y141" s="416"/>
      <c r="Z141" s="416"/>
      <c r="AA141" s="416"/>
      <c r="AB141" s="416"/>
      <c r="AC141" s="424">
        <f t="shared" si="39"/>
        <v>20796</v>
      </c>
      <c r="AD141" s="332">
        <v>-20796</v>
      </c>
      <c r="AE141" s="320"/>
      <c r="AF141" s="187"/>
      <c r="AG141" s="187"/>
      <c r="AH141" s="188">
        <v>-21095</v>
      </c>
      <c r="AI141" s="177"/>
      <c r="AJ141" s="189"/>
      <c r="AK141" s="129"/>
      <c r="AL141" s="66" t="s">
        <v>421</v>
      </c>
      <c r="AM141" s="128">
        <f t="shared" si="37"/>
        <v>0</v>
      </c>
      <c r="AU141" s="210">
        <f t="shared" si="35"/>
        <v>0</v>
      </c>
      <c r="AV141" s="207" t="str">
        <f t="shared" si="33"/>
        <v>OK</v>
      </c>
      <c r="AW141" s="25"/>
    </row>
    <row r="142" spans="1:49" ht="52.5" customHeight="1">
      <c r="A142" s="89"/>
      <c r="B142" s="217"/>
      <c r="C142" s="38" t="s">
        <v>591</v>
      </c>
      <c r="D142" s="38" t="s">
        <v>592</v>
      </c>
      <c r="E142" s="332">
        <v>504212</v>
      </c>
      <c r="F142" s="416">
        <v>26496</v>
      </c>
      <c r="G142" s="416"/>
      <c r="H142" s="416"/>
      <c r="I142" s="416">
        <v>477716</v>
      </c>
      <c r="J142" s="332">
        <v>445713</v>
      </c>
      <c r="K142" s="332"/>
      <c r="L142" s="332"/>
      <c r="M142" s="332"/>
      <c r="N142" s="332"/>
      <c r="O142" s="332">
        <v>-297142</v>
      </c>
      <c r="P142" s="320"/>
      <c r="Q142" s="187"/>
      <c r="R142" s="187"/>
      <c r="S142" s="188">
        <v>-297142</v>
      </c>
      <c r="T142" s="781">
        <f t="shared" si="36"/>
        <v>0</v>
      </c>
      <c r="U142" s="782"/>
      <c r="V142" s="771" t="s">
        <v>60</v>
      </c>
      <c r="W142" s="332">
        <v>-168071</v>
      </c>
      <c r="X142" s="415">
        <v>515165</v>
      </c>
      <c r="Y142" s="416"/>
      <c r="Z142" s="416"/>
      <c r="AA142" s="416"/>
      <c r="AB142" s="416"/>
      <c r="AC142" s="424">
        <f t="shared" si="39"/>
        <v>515165</v>
      </c>
      <c r="AD142" s="332">
        <v>-154000</v>
      </c>
      <c r="AE142" s="320">
        <v>-8832</v>
      </c>
      <c r="AF142" s="187"/>
      <c r="AG142" s="187"/>
      <c r="AH142" s="188">
        <v>-159239</v>
      </c>
      <c r="AI142" s="177"/>
      <c r="AJ142" s="189"/>
      <c r="AK142" s="129" t="s">
        <v>60</v>
      </c>
      <c r="AL142" s="66" t="s">
        <v>421</v>
      </c>
      <c r="AM142" s="128">
        <f t="shared" si="37"/>
        <v>0</v>
      </c>
      <c r="AU142" s="210">
        <f t="shared" si="35"/>
        <v>0</v>
      </c>
      <c r="AV142" s="207" t="str">
        <f t="shared" si="33"/>
        <v>OK</v>
      </c>
      <c r="AW142" s="25"/>
    </row>
    <row r="143" spans="1:49" ht="56.25" customHeight="1">
      <c r="A143" s="89"/>
      <c r="B143" s="218" t="s">
        <v>235</v>
      </c>
      <c r="C143" s="38" t="s">
        <v>237</v>
      </c>
      <c r="D143" s="38" t="s">
        <v>64</v>
      </c>
      <c r="E143" s="26">
        <v>154782768</v>
      </c>
      <c r="F143" s="416">
        <v>40085762</v>
      </c>
      <c r="G143" s="416"/>
      <c r="H143" s="416"/>
      <c r="I143" s="416">
        <v>114697006</v>
      </c>
      <c r="J143" s="26">
        <v>151429201</v>
      </c>
      <c r="K143" s="26"/>
      <c r="L143" s="26"/>
      <c r="M143" s="26"/>
      <c r="N143" s="26"/>
      <c r="O143" s="26">
        <v>1476000</v>
      </c>
      <c r="P143" s="47"/>
      <c r="Q143" s="48"/>
      <c r="R143" s="48"/>
      <c r="S143" s="49">
        <v>1476000</v>
      </c>
      <c r="T143" s="781">
        <f t="shared" si="36"/>
        <v>0</v>
      </c>
      <c r="U143" s="782"/>
      <c r="V143" s="771" t="s">
        <v>567</v>
      </c>
      <c r="W143" s="26">
        <v>1504000</v>
      </c>
      <c r="X143" s="415">
        <v>158619628</v>
      </c>
      <c r="Y143" s="416"/>
      <c r="Z143" s="416"/>
      <c r="AA143" s="416"/>
      <c r="AB143" s="416"/>
      <c r="AC143" s="424">
        <f t="shared" si="39"/>
        <v>158619628</v>
      </c>
      <c r="AD143" s="26">
        <v>740000</v>
      </c>
      <c r="AE143" s="47"/>
      <c r="AF143" s="48"/>
      <c r="AG143" s="48"/>
      <c r="AH143" s="49">
        <v>1504000</v>
      </c>
      <c r="AI143" s="119"/>
      <c r="AJ143" s="149"/>
      <c r="AK143" s="129" t="s">
        <v>806</v>
      </c>
      <c r="AL143" s="66" t="s">
        <v>425</v>
      </c>
      <c r="AM143" s="128">
        <f t="shared" si="37"/>
        <v>0</v>
      </c>
      <c r="AT143" s="25"/>
      <c r="AU143" s="210">
        <f t="shared" si="35"/>
        <v>0</v>
      </c>
      <c r="AV143" s="207" t="str">
        <f t="shared" si="33"/>
        <v>OK</v>
      </c>
      <c r="AW143" s="25"/>
    </row>
    <row r="144" spans="1:49" ht="63" customHeight="1">
      <c r="A144" s="89"/>
      <c r="B144" s="93" t="s">
        <v>3</v>
      </c>
      <c r="C144" s="38" t="s">
        <v>4</v>
      </c>
      <c r="D144" s="38" t="s">
        <v>540</v>
      </c>
      <c r="E144" s="26">
        <v>28258993</v>
      </c>
      <c r="F144" s="416">
        <v>3851919</v>
      </c>
      <c r="G144" s="416"/>
      <c r="H144" s="416"/>
      <c r="I144" s="416">
        <v>24407074</v>
      </c>
      <c r="J144" s="26">
        <v>28105902</v>
      </c>
      <c r="K144" s="26"/>
      <c r="L144" s="26"/>
      <c r="M144" s="26"/>
      <c r="N144" s="26"/>
      <c r="O144" s="26">
        <v>18000</v>
      </c>
      <c r="P144" s="47"/>
      <c r="Q144" s="48"/>
      <c r="R144" s="48"/>
      <c r="S144" s="49">
        <v>18000</v>
      </c>
      <c r="T144" s="781">
        <f t="shared" si="36"/>
        <v>0</v>
      </c>
      <c r="U144" s="782"/>
      <c r="V144" s="771" t="s">
        <v>61</v>
      </c>
      <c r="W144" s="26">
        <v>18000</v>
      </c>
      <c r="X144" s="415">
        <v>27788207</v>
      </c>
      <c r="Y144" s="416"/>
      <c r="Z144" s="416"/>
      <c r="AA144" s="416"/>
      <c r="AB144" s="416"/>
      <c r="AC144" s="424">
        <f t="shared" si="39"/>
        <v>27788207</v>
      </c>
      <c r="AD144" s="26">
        <v>9000</v>
      </c>
      <c r="AE144" s="47"/>
      <c r="AF144" s="48"/>
      <c r="AG144" s="48"/>
      <c r="AH144" s="49">
        <v>18000</v>
      </c>
      <c r="AI144" s="119"/>
      <c r="AJ144" s="149"/>
      <c r="AK144" s="129" t="s">
        <v>61</v>
      </c>
      <c r="AL144" s="66" t="s">
        <v>425</v>
      </c>
      <c r="AM144" s="128">
        <f t="shared" si="37"/>
        <v>0</v>
      </c>
      <c r="AS144" s="62"/>
      <c r="AT144" s="25"/>
      <c r="AU144" s="210">
        <f t="shared" si="35"/>
        <v>0</v>
      </c>
      <c r="AV144" s="207" t="str">
        <f t="shared" si="33"/>
        <v>OK</v>
      </c>
      <c r="AW144" s="62"/>
    </row>
    <row r="145" spans="1:48" ht="37.5" customHeight="1">
      <c r="A145" s="89"/>
      <c r="B145" s="217" t="s">
        <v>213</v>
      </c>
      <c r="C145" s="38" t="s">
        <v>215</v>
      </c>
      <c r="D145" s="38" t="s">
        <v>44</v>
      </c>
      <c r="E145" s="26">
        <v>16321</v>
      </c>
      <c r="F145" s="416"/>
      <c r="G145" s="416">
        <v>352</v>
      </c>
      <c r="H145" s="416"/>
      <c r="I145" s="416">
        <v>15969</v>
      </c>
      <c r="J145" s="26">
        <v>14273</v>
      </c>
      <c r="K145" s="26"/>
      <c r="L145" s="26"/>
      <c r="M145" s="26"/>
      <c r="N145" s="26"/>
      <c r="O145" s="26">
        <f>-J145</f>
        <v>-14273</v>
      </c>
      <c r="P145" s="47"/>
      <c r="Q145" s="48">
        <v>-541</v>
      </c>
      <c r="R145" s="48"/>
      <c r="S145" s="49">
        <v>-13732</v>
      </c>
      <c r="T145" s="781">
        <f t="shared" si="36"/>
        <v>0</v>
      </c>
      <c r="U145" s="782"/>
      <c r="V145" s="771"/>
      <c r="W145" s="26">
        <v>-16321</v>
      </c>
      <c r="X145" s="415">
        <v>20340</v>
      </c>
      <c r="Y145" s="416"/>
      <c r="Z145" s="416"/>
      <c r="AA145" s="416"/>
      <c r="AB145" s="416"/>
      <c r="AC145" s="424">
        <f t="shared" si="39"/>
        <v>20340</v>
      </c>
      <c r="AD145" s="26">
        <v>-20340</v>
      </c>
      <c r="AE145" s="47"/>
      <c r="AF145" s="48">
        <v>-352</v>
      </c>
      <c r="AG145" s="48"/>
      <c r="AH145" s="49">
        <v>-15969</v>
      </c>
      <c r="AI145" s="119">
        <v>16321</v>
      </c>
      <c r="AJ145" s="149"/>
      <c r="AK145" s="129"/>
      <c r="AL145" s="66" t="s">
        <v>421</v>
      </c>
      <c r="AM145" s="128">
        <f t="shared" si="37"/>
        <v>0</v>
      </c>
      <c r="AP145" s="726">
        <v>-541</v>
      </c>
      <c r="AU145" s="210">
        <f t="shared" si="35"/>
        <v>-541</v>
      </c>
      <c r="AV145" s="207" t="str">
        <f t="shared" si="33"/>
        <v>OK</v>
      </c>
    </row>
    <row r="146" spans="1:49" ht="42.75" customHeight="1">
      <c r="A146" s="89"/>
      <c r="B146" s="219" t="s">
        <v>676</v>
      </c>
      <c r="C146" s="51" t="s">
        <v>132</v>
      </c>
      <c r="D146" s="38" t="s">
        <v>677</v>
      </c>
      <c r="E146" s="26" t="s">
        <v>442</v>
      </c>
      <c r="F146" s="416"/>
      <c r="G146" s="416"/>
      <c r="H146" s="416"/>
      <c r="I146" s="416"/>
      <c r="J146" s="26">
        <v>100000</v>
      </c>
      <c r="K146" s="119"/>
      <c r="L146" s="119"/>
      <c r="M146" s="119"/>
      <c r="N146" s="119"/>
      <c r="O146" s="385">
        <v>100000</v>
      </c>
      <c r="P146" s="47"/>
      <c r="Q146" s="48">
        <v>100000</v>
      </c>
      <c r="R146" s="48"/>
      <c r="S146" s="49"/>
      <c r="T146" s="781">
        <f t="shared" si="36"/>
        <v>0</v>
      </c>
      <c r="U146" s="782"/>
      <c r="V146" s="771" t="s">
        <v>47</v>
      </c>
      <c r="W146" s="48">
        <v>150000</v>
      </c>
      <c r="X146" s="415" t="s">
        <v>442</v>
      </c>
      <c r="Y146" s="416"/>
      <c r="Z146" s="416"/>
      <c r="AA146" s="416"/>
      <c r="AB146" s="416"/>
      <c r="AC146" s="424" t="e">
        <f t="shared" si="39"/>
        <v>#VALUE!</v>
      </c>
      <c r="AD146" s="26">
        <v>150000</v>
      </c>
      <c r="AE146" s="47"/>
      <c r="AF146" s="48">
        <v>150000</v>
      </c>
      <c r="AG146" s="48"/>
      <c r="AH146" s="49"/>
      <c r="AI146" s="119"/>
      <c r="AJ146" s="149"/>
      <c r="AK146" s="129" t="s">
        <v>47</v>
      </c>
      <c r="AL146" s="66" t="s">
        <v>425</v>
      </c>
      <c r="AM146" s="128">
        <f t="shared" si="37"/>
        <v>0</v>
      </c>
      <c r="AS146" s="48"/>
      <c r="AT146" s="48">
        <v>100000</v>
      </c>
      <c r="AU146" s="210">
        <f t="shared" si="35"/>
        <v>100000</v>
      </c>
      <c r="AV146" s="207" t="str">
        <f t="shared" si="33"/>
        <v>OK</v>
      </c>
      <c r="AW146" s="48">
        <v>100000</v>
      </c>
    </row>
    <row r="147" spans="1:49" ht="42.75" customHeight="1">
      <c r="A147" s="89"/>
      <c r="B147" s="217"/>
      <c r="C147" s="56"/>
      <c r="D147" s="38" t="s">
        <v>459</v>
      </c>
      <c r="E147" s="26">
        <v>25343647</v>
      </c>
      <c r="F147" s="416">
        <v>3856376</v>
      </c>
      <c r="G147" s="416"/>
      <c r="H147" s="416"/>
      <c r="I147" s="416">
        <v>21487271</v>
      </c>
      <c r="J147" s="26">
        <v>24984523</v>
      </c>
      <c r="K147" s="119"/>
      <c r="L147" s="119"/>
      <c r="M147" s="119"/>
      <c r="N147" s="119"/>
      <c r="O147" s="385">
        <v>140000</v>
      </c>
      <c r="P147" s="47"/>
      <c r="Q147" s="48"/>
      <c r="R147" s="48"/>
      <c r="S147" s="49">
        <v>140000</v>
      </c>
      <c r="T147" s="734">
        <f t="shared" si="36"/>
        <v>0</v>
      </c>
      <c r="U147" s="66"/>
      <c r="V147" s="129" t="s">
        <v>728</v>
      </c>
      <c r="W147" s="49">
        <v>400000</v>
      </c>
      <c r="X147" s="415">
        <v>25199386</v>
      </c>
      <c r="Y147" s="416"/>
      <c r="Z147" s="416"/>
      <c r="AA147" s="416"/>
      <c r="AB147" s="416"/>
      <c r="AC147" s="424"/>
      <c r="AD147" s="26">
        <v>85738</v>
      </c>
      <c r="AE147" s="47"/>
      <c r="AF147" s="48"/>
      <c r="AG147" s="48"/>
      <c r="AH147" s="49">
        <v>400000</v>
      </c>
      <c r="AI147" s="119"/>
      <c r="AJ147" s="149"/>
      <c r="AK147" s="129" t="s">
        <v>253</v>
      </c>
      <c r="AL147" s="66" t="s">
        <v>425</v>
      </c>
      <c r="AM147" s="128">
        <f>W147-AE147-AF147-AG147-AH147</f>
        <v>0</v>
      </c>
      <c r="AS147" s="62"/>
      <c r="AT147" s="62"/>
      <c r="AU147" s="210">
        <f>SUM(AO147:AT147)</f>
        <v>0</v>
      </c>
      <c r="AV147" s="207" t="str">
        <f>IF(Q147=AU147,"OK","OUT")</f>
        <v>OK</v>
      </c>
      <c r="AW147" s="62"/>
    </row>
    <row r="148" spans="1:50" ht="45.75" customHeight="1">
      <c r="A148" s="89"/>
      <c r="B148" s="220"/>
      <c r="C148" s="50"/>
      <c r="D148" s="38" t="s">
        <v>294</v>
      </c>
      <c r="E148" s="26">
        <v>621690</v>
      </c>
      <c r="F148" s="416"/>
      <c r="G148" s="416"/>
      <c r="H148" s="416"/>
      <c r="I148" s="416">
        <v>621690</v>
      </c>
      <c r="J148" s="26">
        <v>650880</v>
      </c>
      <c r="K148" s="26"/>
      <c r="L148" s="26"/>
      <c r="M148" s="26"/>
      <c r="N148" s="26"/>
      <c r="O148" s="26">
        <v>563533</v>
      </c>
      <c r="P148" s="47"/>
      <c r="Q148" s="48"/>
      <c r="R148" s="48"/>
      <c r="S148" s="49">
        <f aca="true" t="shared" si="40" ref="S148:S153">O148</f>
        <v>563533</v>
      </c>
      <c r="T148" s="781">
        <f t="shared" si="36"/>
        <v>0</v>
      </c>
      <c r="U148" s="782"/>
      <c r="V148" s="771" t="s">
        <v>552</v>
      </c>
      <c r="W148" s="26">
        <f>1214413-E148</f>
        <v>592723</v>
      </c>
      <c r="X148" s="415">
        <v>1214413</v>
      </c>
      <c r="Y148" s="416"/>
      <c r="Z148" s="416"/>
      <c r="AA148" s="416"/>
      <c r="AB148" s="416"/>
      <c r="AC148" s="424">
        <f t="shared" si="39"/>
        <v>1214413</v>
      </c>
      <c r="AD148" s="26">
        <v>120000</v>
      </c>
      <c r="AE148" s="47"/>
      <c r="AF148" s="48"/>
      <c r="AG148" s="48"/>
      <c r="AH148" s="49">
        <v>592723</v>
      </c>
      <c r="AI148" s="119"/>
      <c r="AJ148" s="149"/>
      <c r="AK148" s="129" t="s">
        <v>489</v>
      </c>
      <c r="AL148" s="66" t="s">
        <v>425</v>
      </c>
      <c r="AM148" s="128">
        <f t="shared" si="37"/>
        <v>0</v>
      </c>
      <c r="AS148" s="62"/>
      <c r="AT148" s="62"/>
      <c r="AU148" s="210">
        <f t="shared" si="35"/>
        <v>0</v>
      </c>
      <c r="AV148" s="207" t="str">
        <f t="shared" si="33"/>
        <v>OK</v>
      </c>
      <c r="AW148" s="62"/>
      <c r="AX148" s="66" t="s">
        <v>472</v>
      </c>
    </row>
    <row r="149" spans="1:50" ht="31.5" customHeight="1">
      <c r="A149" s="99"/>
      <c r="B149" s="219" t="s">
        <v>424</v>
      </c>
      <c r="C149" s="51" t="s">
        <v>134</v>
      </c>
      <c r="D149" s="38" t="s">
        <v>135</v>
      </c>
      <c r="E149" s="26">
        <v>8216</v>
      </c>
      <c r="F149" s="416"/>
      <c r="G149" s="416"/>
      <c r="H149" s="416"/>
      <c r="I149" s="416"/>
      <c r="J149" s="26">
        <v>8216</v>
      </c>
      <c r="K149" s="26"/>
      <c r="L149" s="26"/>
      <c r="M149" s="26"/>
      <c r="N149" s="26"/>
      <c r="O149" s="26">
        <f>-J149</f>
        <v>-8216</v>
      </c>
      <c r="P149" s="47"/>
      <c r="Q149" s="48"/>
      <c r="R149" s="48"/>
      <c r="S149" s="49">
        <f t="shared" si="40"/>
        <v>-8216</v>
      </c>
      <c r="T149" s="781">
        <f t="shared" si="36"/>
        <v>0</v>
      </c>
      <c r="U149" s="782"/>
      <c r="V149" s="771" t="s">
        <v>72</v>
      </c>
      <c r="W149" s="26">
        <v>-8216</v>
      </c>
      <c r="X149" s="415">
        <v>8290</v>
      </c>
      <c r="Y149" s="416"/>
      <c r="Z149" s="416"/>
      <c r="AA149" s="416"/>
      <c r="AB149" s="416"/>
      <c r="AC149" s="424">
        <f t="shared" si="39"/>
        <v>8290</v>
      </c>
      <c r="AD149" s="26">
        <v>-8290</v>
      </c>
      <c r="AE149" s="47"/>
      <c r="AF149" s="48"/>
      <c r="AG149" s="48"/>
      <c r="AH149" s="49">
        <v>-8216</v>
      </c>
      <c r="AI149" s="119"/>
      <c r="AJ149" s="149"/>
      <c r="AK149" s="129" t="s">
        <v>72</v>
      </c>
      <c r="AL149" s="66" t="s">
        <v>421</v>
      </c>
      <c r="AM149" s="128">
        <f t="shared" si="37"/>
        <v>0</v>
      </c>
      <c r="AO149" s="25"/>
      <c r="AU149" s="210">
        <f t="shared" si="35"/>
        <v>0</v>
      </c>
      <c r="AV149" s="207" t="str">
        <f t="shared" si="33"/>
        <v>OK</v>
      </c>
      <c r="AX149" s="76">
        <f>SUM(W149:W153)-W151</f>
        <v>-49913</v>
      </c>
    </row>
    <row r="150" spans="1:48" ht="36.75" customHeight="1">
      <c r="A150" s="99"/>
      <c r="B150" s="217"/>
      <c r="C150" s="56"/>
      <c r="D150" s="38" t="s">
        <v>623</v>
      </c>
      <c r="E150" s="26">
        <v>16920</v>
      </c>
      <c r="F150" s="416"/>
      <c r="G150" s="416"/>
      <c r="H150" s="416"/>
      <c r="I150" s="416"/>
      <c r="J150" s="26">
        <v>16098</v>
      </c>
      <c r="K150" s="26"/>
      <c r="L150" s="26"/>
      <c r="M150" s="26"/>
      <c r="N150" s="26"/>
      <c r="O150" s="26">
        <f>-J150</f>
        <v>-16098</v>
      </c>
      <c r="P150" s="47"/>
      <c r="Q150" s="48"/>
      <c r="R150" s="48"/>
      <c r="S150" s="49">
        <f t="shared" si="40"/>
        <v>-16098</v>
      </c>
      <c r="T150" s="781">
        <f t="shared" si="36"/>
        <v>0</v>
      </c>
      <c r="U150" s="782"/>
      <c r="V150" s="771" t="s">
        <v>58</v>
      </c>
      <c r="W150" s="26">
        <v>-16920</v>
      </c>
      <c r="X150" s="415">
        <v>18000</v>
      </c>
      <c r="Y150" s="416"/>
      <c r="Z150" s="416"/>
      <c r="AA150" s="416"/>
      <c r="AB150" s="416"/>
      <c r="AC150" s="424">
        <f t="shared" si="39"/>
        <v>18000</v>
      </c>
      <c r="AD150" s="26">
        <v>-18000</v>
      </c>
      <c r="AE150" s="47"/>
      <c r="AF150" s="48"/>
      <c r="AG150" s="48"/>
      <c r="AH150" s="49">
        <v>-16920</v>
      </c>
      <c r="AI150" s="119"/>
      <c r="AJ150" s="149"/>
      <c r="AK150" s="129" t="s">
        <v>58</v>
      </c>
      <c r="AL150" s="66" t="s">
        <v>421</v>
      </c>
      <c r="AM150" s="128">
        <f t="shared" si="37"/>
        <v>0</v>
      </c>
      <c r="AO150" s="25"/>
      <c r="AU150" s="210">
        <f t="shared" si="35"/>
        <v>0</v>
      </c>
      <c r="AV150" s="207" t="str">
        <f t="shared" si="33"/>
        <v>OK</v>
      </c>
    </row>
    <row r="151" spans="1:48" ht="42.75" customHeight="1">
      <c r="A151" s="89"/>
      <c r="B151" s="217"/>
      <c r="C151" s="56"/>
      <c r="D151" s="38" t="s">
        <v>484</v>
      </c>
      <c r="E151" s="26">
        <v>7737</v>
      </c>
      <c r="F151" s="416"/>
      <c r="G151" s="416"/>
      <c r="H151" s="416"/>
      <c r="I151" s="416"/>
      <c r="J151" s="26">
        <v>7737</v>
      </c>
      <c r="K151" s="26"/>
      <c r="L151" s="26"/>
      <c r="M151" s="26"/>
      <c r="N151" s="26"/>
      <c r="O151" s="26">
        <f>-J151</f>
        <v>-7737</v>
      </c>
      <c r="P151" s="47"/>
      <c r="Q151" s="48"/>
      <c r="R151" s="48"/>
      <c r="S151" s="49">
        <f t="shared" si="40"/>
        <v>-7737</v>
      </c>
      <c r="T151" s="781">
        <f t="shared" si="36"/>
        <v>0</v>
      </c>
      <c r="U151" s="782"/>
      <c r="V151" s="771" t="s">
        <v>747</v>
      </c>
      <c r="W151" s="26">
        <v>-7737</v>
      </c>
      <c r="X151" s="415">
        <v>7762</v>
      </c>
      <c r="Y151" s="416"/>
      <c r="Z151" s="416"/>
      <c r="AA151" s="416"/>
      <c r="AB151" s="416"/>
      <c r="AC151" s="424">
        <f t="shared" si="39"/>
        <v>7762</v>
      </c>
      <c r="AD151" s="26">
        <v>-7762</v>
      </c>
      <c r="AE151" s="47"/>
      <c r="AF151" s="48"/>
      <c r="AG151" s="48"/>
      <c r="AH151" s="49">
        <v>-7737</v>
      </c>
      <c r="AI151" s="119"/>
      <c r="AJ151" s="149"/>
      <c r="AK151" s="129" t="s">
        <v>747</v>
      </c>
      <c r="AL151" s="66" t="s">
        <v>421</v>
      </c>
      <c r="AM151" s="128">
        <f t="shared" si="37"/>
        <v>0</v>
      </c>
      <c r="AO151" s="25"/>
      <c r="AU151" s="210">
        <f t="shared" si="35"/>
        <v>0</v>
      </c>
      <c r="AV151" s="207" t="str">
        <f t="shared" si="33"/>
        <v>OK</v>
      </c>
    </row>
    <row r="152" spans="1:48" ht="41.25" customHeight="1">
      <c r="A152" s="99"/>
      <c r="B152" s="217"/>
      <c r="C152" s="56"/>
      <c r="D152" s="38" t="s">
        <v>5</v>
      </c>
      <c r="E152" s="26">
        <v>20877</v>
      </c>
      <c r="F152" s="416"/>
      <c r="G152" s="416"/>
      <c r="H152" s="416"/>
      <c r="I152" s="416"/>
      <c r="J152" s="26">
        <v>19685</v>
      </c>
      <c r="K152" s="26"/>
      <c r="L152" s="26"/>
      <c r="M152" s="26"/>
      <c r="N152" s="26"/>
      <c r="O152" s="26">
        <f>-J152</f>
        <v>-19685</v>
      </c>
      <c r="P152" s="47"/>
      <c r="Q152" s="48"/>
      <c r="R152" s="48"/>
      <c r="S152" s="49">
        <f t="shared" si="40"/>
        <v>-19685</v>
      </c>
      <c r="T152" s="781">
        <f t="shared" si="36"/>
        <v>0</v>
      </c>
      <c r="U152" s="782"/>
      <c r="V152" s="771" t="s">
        <v>72</v>
      </c>
      <c r="W152" s="26">
        <v>-20877</v>
      </c>
      <c r="X152" s="415">
        <v>22400</v>
      </c>
      <c r="Y152" s="416"/>
      <c r="Z152" s="416"/>
      <c r="AA152" s="416"/>
      <c r="AB152" s="416"/>
      <c r="AC152" s="424">
        <f t="shared" si="39"/>
        <v>22400</v>
      </c>
      <c r="AD152" s="26">
        <v>-22400</v>
      </c>
      <c r="AE152" s="47"/>
      <c r="AF152" s="48"/>
      <c r="AG152" s="48"/>
      <c r="AH152" s="49">
        <v>-20877</v>
      </c>
      <c r="AI152" s="119"/>
      <c r="AJ152" s="149"/>
      <c r="AK152" s="129" t="s">
        <v>72</v>
      </c>
      <c r="AL152" s="66" t="s">
        <v>421</v>
      </c>
      <c r="AM152" s="128">
        <f t="shared" si="37"/>
        <v>0</v>
      </c>
      <c r="AU152" s="210">
        <f t="shared" si="35"/>
        <v>0</v>
      </c>
      <c r="AV152" s="207" t="str">
        <f t="shared" si="33"/>
        <v>OK</v>
      </c>
    </row>
    <row r="153" spans="1:48" ht="41.25" customHeight="1">
      <c r="A153" s="99"/>
      <c r="B153" s="217"/>
      <c r="C153" s="56"/>
      <c r="D153" s="38" t="s">
        <v>808</v>
      </c>
      <c r="E153" s="26">
        <v>3900</v>
      </c>
      <c r="F153" s="416"/>
      <c r="G153" s="416"/>
      <c r="H153" s="416"/>
      <c r="I153" s="416"/>
      <c r="J153" s="26">
        <v>3528</v>
      </c>
      <c r="K153" s="26"/>
      <c r="L153" s="26"/>
      <c r="M153" s="26"/>
      <c r="N153" s="26"/>
      <c r="O153" s="26">
        <f>-J153</f>
        <v>-3528</v>
      </c>
      <c r="P153" s="47"/>
      <c r="Q153" s="48"/>
      <c r="R153" s="48"/>
      <c r="S153" s="49">
        <f t="shared" si="40"/>
        <v>-3528</v>
      </c>
      <c r="T153" s="781">
        <f t="shared" si="36"/>
        <v>0</v>
      </c>
      <c r="U153" s="782"/>
      <c r="V153" s="771" t="s">
        <v>72</v>
      </c>
      <c r="W153" s="26">
        <v>-3900</v>
      </c>
      <c r="X153" s="415">
        <v>6454</v>
      </c>
      <c r="Y153" s="416"/>
      <c r="Z153" s="416"/>
      <c r="AA153" s="416"/>
      <c r="AB153" s="416"/>
      <c r="AC153" s="424">
        <f t="shared" si="39"/>
        <v>6454</v>
      </c>
      <c r="AD153" s="26">
        <v>-6454</v>
      </c>
      <c r="AE153" s="47"/>
      <c r="AF153" s="48"/>
      <c r="AG153" s="48"/>
      <c r="AH153" s="49">
        <v>-3900</v>
      </c>
      <c r="AI153" s="119"/>
      <c r="AJ153" s="149"/>
      <c r="AK153" s="129" t="s">
        <v>72</v>
      </c>
      <c r="AL153" s="66" t="s">
        <v>421</v>
      </c>
      <c r="AM153" s="128">
        <f t="shared" si="37"/>
        <v>0</v>
      </c>
      <c r="AU153" s="210">
        <f t="shared" si="35"/>
        <v>0</v>
      </c>
      <c r="AV153" s="207" t="str">
        <f t="shared" si="33"/>
        <v>OK</v>
      </c>
    </row>
    <row r="154" spans="1:48" ht="69.75" customHeight="1">
      <c r="A154" s="99"/>
      <c r="B154" s="220"/>
      <c r="C154" s="38" t="s">
        <v>804</v>
      </c>
      <c r="D154" s="51" t="s">
        <v>20</v>
      </c>
      <c r="E154" s="30" t="s">
        <v>442</v>
      </c>
      <c r="F154" s="427"/>
      <c r="G154" s="427"/>
      <c r="H154" s="427"/>
      <c r="I154" s="427"/>
      <c r="J154" s="30" t="s">
        <v>442</v>
      </c>
      <c r="K154" s="30"/>
      <c r="L154" s="30"/>
      <c r="M154" s="30"/>
      <c r="N154" s="30"/>
      <c r="O154" s="30">
        <v>5000</v>
      </c>
      <c r="P154" s="52"/>
      <c r="Q154" s="53"/>
      <c r="R154" s="53"/>
      <c r="S154" s="36">
        <v>5000</v>
      </c>
      <c r="T154" s="781">
        <f t="shared" si="36"/>
        <v>0</v>
      </c>
      <c r="U154" s="782"/>
      <c r="V154" s="774" t="s">
        <v>25</v>
      </c>
      <c r="W154" s="30">
        <v>5000</v>
      </c>
      <c r="X154" s="426" t="s">
        <v>442</v>
      </c>
      <c r="Y154" s="427"/>
      <c r="Z154" s="427"/>
      <c r="AA154" s="427"/>
      <c r="AB154" s="427"/>
      <c r="AC154" s="424" t="e">
        <f t="shared" si="39"/>
        <v>#VALUE!</v>
      </c>
      <c r="AD154" s="30">
        <v>5000</v>
      </c>
      <c r="AE154" s="52"/>
      <c r="AF154" s="53"/>
      <c r="AG154" s="53"/>
      <c r="AH154" s="36">
        <v>5000</v>
      </c>
      <c r="AI154" s="120"/>
      <c r="AJ154" s="67"/>
      <c r="AK154" s="145" t="s">
        <v>25</v>
      </c>
      <c r="AL154" s="66" t="s">
        <v>425</v>
      </c>
      <c r="AM154" s="128">
        <f t="shared" si="37"/>
        <v>0</v>
      </c>
      <c r="AU154" s="210">
        <f t="shared" si="35"/>
        <v>0</v>
      </c>
      <c r="AV154" s="207" t="str">
        <f t="shared" si="33"/>
        <v>OK</v>
      </c>
    </row>
    <row r="155" spans="1:48" ht="43.5" customHeight="1" thickBot="1">
      <c r="A155" s="99"/>
      <c r="B155" s="221" t="s">
        <v>384</v>
      </c>
      <c r="C155" s="38" t="s">
        <v>385</v>
      </c>
      <c r="D155" s="38"/>
      <c r="E155" s="26">
        <v>4510</v>
      </c>
      <c r="F155" s="416"/>
      <c r="G155" s="416"/>
      <c r="H155" s="416"/>
      <c r="I155" s="416"/>
      <c r="J155" s="26">
        <v>4057</v>
      </c>
      <c r="K155" s="26"/>
      <c r="L155" s="26"/>
      <c r="M155" s="26"/>
      <c r="N155" s="26"/>
      <c r="O155" s="26">
        <v>-4057</v>
      </c>
      <c r="P155" s="47"/>
      <c r="Q155" s="48"/>
      <c r="R155" s="48"/>
      <c r="S155" s="49">
        <f>O155</f>
        <v>-4057</v>
      </c>
      <c r="T155" s="781">
        <f t="shared" si="36"/>
        <v>0</v>
      </c>
      <c r="U155" s="782"/>
      <c r="V155" s="774" t="s">
        <v>95</v>
      </c>
      <c r="W155" s="26">
        <v>-4510</v>
      </c>
      <c r="X155" s="415">
        <v>4902</v>
      </c>
      <c r="Y155" s="416"/>
      <c r="Z155" s="416"/>
      <c r="AA155" s="416"/>
      <c r="AB155" s="416"/>
      <c r="AC155" s="424">
        <f t="shared" si="39"/>
        <v>4902</v>
      </c>
      <c r="AD155" s="26">
        <v>-2500</v>
      </c>
      <c r="AE155" s="47"/>
      <c r="AF155" s="48"/>
      <c r="AG155" s="48"/>
      <c r="AH155" s="49">
        <v>-4510</v>
      </c>
      <c r="AI155" s="120"/>
      <c r="AJ155" s="67"/>
      <c r="AK155" s="145" t="s">
        <v>95</v>
      </c>
      <c r="AL155" s="66" t="s">
        <v>421</v>
      </c>
      <c r="AM155" s="128">
        <f t="shared" si="37"/>
        <v>0</v>
      </c>
      <c r="AO155" s="25"/>
      <c r="AU155" s="210">
        <f t="shared" si="35"/>
        <v>0</v>
      </c>
      <c r="AV155" s="207" t="str">
        <f t="shared" si="33"/>
        <v>OK</v>
      </c>
    </row>
    <row r="156" spans="1:48" ht="31.5" customHeight="1" thickBot="1">
      <c r="A156" s="95"/>
      <c r="B156" s="69"/>
      <c r="C156" s="57"/>
      <c r="D156" s="57" t="s">
        <v>403</v>
      </c>
      <c r="E156" s="59">
        <f aca="true" t="shared" si="41" ref="E156:J156">SUM(E136:E155)</f>
        <v>211716708</v>
      </c>
      <c r="F156" s="373">
        <f t="shared" si="41"/>
        <v>47820553</v>
      </c>
      <c r="G156" s="373">
        <f t="shared" si="41"/>
        <v>352</v>
      </c>
      <c r="H156" s="373">
        <f t="shared" si="41"/>
        <v>0</v>
      </c>
      <c r="I156" s="373">
        <f t="shared" si="41"/>
        <v>161706726</v>
      </c>
      <c r="J156" s="59">
        <f t="shared" si="41"/>
        <v>207634299</v>
      </c>
      <c r="K156" s="59"/>
      <c r="L156" s="59"/>
      <c r="M156" s="59"/>
      <c r="N156" s="59"/>
      <c r="O156" s="59">
        <f>SUM(O136:O155)</f>
        <v>1884038</v>
      </c>
      <c r="P156" s="60">
        <f>SUM(P136:P155)</f>
        <v>0</v>
      </c>
      <c r="Q156" s="61">
        <f>SUM(Q136:Q155)</f>
        <v>72384</v>
      </c>
      <c r="R156" s="61">
        <f>SUM(R136:R155)</f>
        <v>0</v>
      </c>
      <c r="S156" s="64">
        <f>SUM(S136:S155)</f>
        <v>1811654</v>
      </c>
      <c r="T156" s="781">
        <f t="shared" si="36"/>
        <v>0</v>
      </c>
      <c r="U156" s="782"/>
      <c r="V156" s="590"/>
      <c r="W156" s="59">
        <f>SUM(W136:W155)</f>
        <v>2315073</v>
      </c>
      <c r="X156" s="422">
        <f>SUM(X136:X155)</f>
        <v>215311721</v>
      </c>
      <c r="Y156" s="373"/>
      <c r="Z156" s="373"/>
      <c r="AA156" s="373"/>
      <c r="AB156" s="373"/>
      <c r="AC156" s="373"/>
      <c r="AD156" s="59">
        <f>SUM(AD136:AD155)</f>
        <v>840108</v>
      </c>
      <c r="AE156" s="60">
        <f>SUM(AE136:AE155)</f>
        <v>-8832</v>
      </c>
      <c r="AF156" s="61">
        <f>SUM(AF136:AF155)</f>
        <v>149648</v>
      </c>
      <c r="AG156" s="61">
        <f>SUM(AG136:AG155)</f>
        <v>0</v>
      </c>
      <c r="AH156" s="64">
        <f>SUM(AH136:AH155)</f>
        <v>2174257</v>
      </c>
      <c r="AI156" s="68"/>
      <c r="AJ156" s="64"/>
      <c r="AK156" s="144"/>
      <c r="AM156" s="128">
        <f t="shared" si="37"/>
        <v>0</v>
      </c>
      <c r="AO156" s="59">
        <f aca="true" t="shared" si="42" ref="AO156:AT156">SUM(AO136:AO155)</f>
        <v>0</v>
      </c>
      <c r="AP156" s="59">
        <f t="shared" si="42"/>
        <v>-541</v>
      </c>
      <c r="AQ156" s="59">
        <f t="shared" si="42"/>
        <v>0</v>
      </c>
      <c r="AR156" s="59">
        <f t="shared" si="42"/>
        <v>0</v>
      </c>
      <c r="AS156" s="59">
        <f t="shared" si="42"/>
        <v>-27075</v>
      </c>
      <c r="AT156" s="59">
        <f t="shared" si="42"/>
        <v>100000</v>
      </c>
      <c r="AU156" s="210">
        <f t="shared" si="35"/>
        <v>72384</v>
      </c>
      <c r="AV156" s="207" t="str">
        <f t="shared" si="33"/>
        <v>OK</v>
      </c>
    </row>
    <row r="157" spans="1:48" ht="39.75" customHeight="1" thickBot="1">
      <c r="A157" s="108" t="s">
        <v>673</v>
      </c>
      <c r="B157" s="69" t="s">
        <v>673</v>
      </c>
      <c r="C157" s="57" t="s">
        <v>673</v>
      </c>
      <c r="D157" s="63"/>
      <c r="E157" s="59">
        <v>1000000</v>
      </c>
      <c r="F157" s="433"/>
      <c r="G157" s="433"/>
      <c r="H157" s="433"/>
      <c r="I157" s="433">
        <v>1000000</v>
      </c>
      <c r="J157" s="59">
        <v>1000000</v>
      </c>
      <c r="K157" s="59"/>
      <c r="L157" s="59"/>
      <c r="M157" s="59"/>
      <c r="N157" s="59"/>
      <c r="O157" s="59">
        <v>-500000</v>
      </c>
      <c r="P157" s="54"/>
      <c r="Q157" s="61"/>
      <c r="R157" s="61"/>
      <c r="S157" s="64">
        <v>-500000</v>
      </c>
      <c r="T157" s="783">
        <f t="shared" si="36"/>
        <v>0</v>
      </c>
      <c r="U157" s="784"/>
      <c r="V157" s="768" t="s">
        <v>291</v>
      </c>
      <c r="W157" s="59">
        <v>-500000</v>
      </c>
      <c r="X157" s="432">
        <v>1000000</v>
      </c>
      <c r="Y157" s="433"/>
      <c r="Z157" s="433"/>
      <c r="AA157" s="433"/>
      <c r="AB157" s="433"/>
      <c r="AC157" s="433"/>
      <c r="AD157" s="59">
        <v>-500000</v>
      </c>
      <c r="AE157" s="54"/>
      <c r="AF157" s="61"/>
      <c r="AG157" s="61"/>
      <c r="AH157" s="64">
        <v>-500000</v>
      </c>
      <c r="AI157" s="54"/>
      <c r="AJ157" s="64"/>
      <c r="AK157" s="87" t="s">
        <v>291</v>
      </c>
      <c r="AL157" s="66" t="s">
        <v>421</v>
      </c>
      <c r="AM157" s="128">
        <f t="shared" si="37"/>
        <v>0</v>
      </c>
      <c r="AU157" s="210">
        <f t="shared" si="35"/>
        <v>0</v>
      </c>
      <c r="AV157" s="207" t="str">
        <f t="shared" si="33"/>
        <v>OK</v>
      </c>
    </row>
    <row r="158" spans="1:49" ht="31.5" customHeight="1" thickBot="1">
      <c r="A158" s="109"/>
      <c r="B158" s="65"/>
      <c r="C158" s="65"/>
      <c r="D158" s="63" t="s">
        <v>156</v>
      </c>
      <c r="E158" s="775">
        <f aca="true" t="shared" si="43" ref="E158:J158">E8+E31+E49+E59+E65+E74+E84+E132+E135+E156+E157</f>
        <v>343828712</v>
      </c>
      <c r="F158" s="776">
        <f t="shared" si="43"/>
        <v>49029888</v>
      </c>
      <c r="G158" s="776">
        <f t="shared" si="43"/>
        <v>5374246</v>
      </c>
      <c r="H158" s="776">
        <f t="shared" si="43"/>
        <v>2790400</v>
      </c>
      <c r="I158" s="776">
        <f t="shared" si="43"/>
        <v>186170243</v>
      </c>
      <c r="J158" s="775">
        <f t="shared" si="43"/>
        <v>324006361</v>
      </c>
      <c r="K158" s="775"/>
      <c r="L158" s="775"/>
      <c r="M158" s="775"/>
      <c r="N158" s="775"/>
      <c r="O158" s="775">
        <f>O8+O31+O49+O59+O65+O74+O84+O132+O135+O156+O157</f>
        <v>-44791044</v>
      </c>
      <c r="P158" s="114">
        <f>P8+P31+P49+P59+P65+P74+P84+P132+P135+P156+P157</f>
        <v>-9806510</v>
      </c>
      <c r="Q158" s="777">
        <f>Q8+Q31+Q49+Q59+Q65+Q74+Q84+Q132+Q135+Q156+Q157</f>
        <v>-3944834</v>
      </c>
      <c r="R158" s="777">
        <f>R8+R31+R49+R59+R65+R74+R84+R132+R135+R156+R157</f>
        <v>-31039700</v>
      </c>
      <c r="S158" s="778">
        <f>S8+S31+S49+S59+S65+S74+S84+S132+S135+S156+S157</f>
        <v>0</v>
      </c>
      <c r="T158" s="734">
        <f t="shared" si="36"/>
        <v>0</v>
      </c>
      <c r="U158" s="734"/>
      <c r="V158" s="87"/>
      <c r="W158" s="31">
        <f>W8+W31+W49+W59+W65+W74+W84+W132+W135+W156+W157</f>
        <v>-52163044.8</v>
      </c>
      <c r="X158" s="375">
        <f>X8+X31+X49+X59+X65+X74+X84+X132+X135+X156+X157</f>
        <v>339463123</v>
      </c>
      <c r="Y158" s="376"/>
      <c r="Z158" s="376"/>
      <c r="AA158" s="376"/>
      <c r="AB158" s="376"/>
      <c r="AC158" s="376"/>
      <c r="AD158" s="31">
        <f>AD8+AD31+AD49+AD59+AD65+AD74+AD84+AD132+AD135+AD156+AD157</f>
        <v>-53445585</v>
      </c>
      <c r="AE158" s="114">
        <f>AE8+AE31+AE49+AE59+AE65+AE74+AE84+AE132+AE135+AE156+AE157</f>
        <v>-11799782.2</v>
      </c>
      <c r="AF158" s="111">
        <f>AF8+AF31+AF49+AF59+AF65+AF74+AF84+AF132+AF135+AF156+AF157</f>
        <v>-5060276</v>
      </c>
      <c r="AG158" s="111">
        <f>AG8+AG31+AG49+AG59+AG65+AG74+AG84+AG132+AG135+AG156+AG157</f>
        <v>-34805500</v>
      </c>
      <c r="AH158" s="111">
        <f>AH8+AH31+AH49+AH59+AH65+AH74+AH84+AH132+AH135+AH156+AH157</f>
        <v>-497487</v>
      </c>
      <c r="AI158" s="114"/>
      <c r="AJ158" s="112"/>
      <c r="AK158" s="87"/>
      <c r="AM158" s="128">
        <f t="shared" si="37"/>
        <v>0.4000000059604645</v>
      </c>
      <c r="AO158" s="111">
        <f aca="true" t="shared" si="44" ref="AO158:AU158">AO8+AO31+AO49+AO59+AO65+AO74+AO84+AO132+AO135+AO156+AO157</f>
        <v>-2798779</v>
      </c>
      <c r="AP158" s="111">
        <f t="shared" si="44"/>
        <v>-8400</v>
      </c>
      <c r="AQ158" s="111">
        <f t="shared" si="44"/>
        <v>0</v>
      </c>
      <c r="AR158" s="111">
        <f t="shared" si="44"/>
        <v>-300</v>
      </c>
      <c r="AS158" s="111">
        <f t="shared" si="44"/>
        <v>-975529</v>
      </c>
      <c r="AT158" s="111">
        <f t="shared" si="44"/>
        <v>-161826</v>
      </c>
      <c r="AU158" s="111">
        <f t="shared" si="44"/>
        <v>-3944834</v>
      </c>
      <c r="AV158" s="207" t="str">
        <f t="shared" si="33"/>
        <v>OK</v>
      </c>
      <c r="AW158" s="66">
        <f>SUM(AW9:AW157)</f>
        <v>0</v>
      </c>
    </row>
    <row r="159" spans="19:48" ht="13.5">
      <c r="S159" s="750"/>
      <c r="AV159" s="207"/>
    </row>
    <row r="160" spans="22:48" ht="13.5">
      <c r="V160" s="146"/>
      <c r="AF160" s="25"/>
      <c r="AG160" s="25"/>
      <c r="AH160" s="25"/>
      <c r="AI160" s="25"/>
      <c r="AJ160" s="25"/>
      <c r="AK160" s="146"/>
      <c r="AV160" s="207"/>
    </row>
    <row r="161" spans="22:39" ht="14.25" hidden="1" thickBot="1">
      <c r="V161" s="146"/>
      <c r="W161" s="76" t="e">
        <f>#REF!+#REF!+W38+'11年増額から外したもの'!V6+#REF!+#REF!+W39+W40+#REF!+#REF!+#REF!+'11年増額から外したもの'!V12+W56+#REF!+#REF!+#REF!+#REF!+W143</f>
        <v>#REF!</v>
      </c>
      <c r="AD161" s="76" t="e">
        <f>#REF!+#REF!+AD38+'11年増額から外したもの'!AC6+#REF!+#REF!+AD39+AD40+#REF!+#REF!+#REF!+'11年増額から外したもの'!AC12+AD56+#REF!+#REF!+#REF!+#REF!+AD143</f>
        <v>#REF!</v>
      </c>
      <c r="AE161" s="76" t="e">
        <f>#REF!+#REF!+AE38+'11年増額から外したもの'!AD6+#REF!+#REF!+AE39+AE40+#REF!+#REF!+#REF!+'11年増額から外したもの'!AD12+AE56+#REF!+#REF!+#REF!+#REF!+AE143</f>
        <v>#REF!</v>
      </c>
      <c r="AF161" s="115"/>
      <c r="AG161" s="115"/>
      <c r="AH161" s="115"/>
      <c r="AI161" s="115"/>
      <c r="AJ161" s="115"/>
      <c r="AK161" s="146"/>
      <c r="AL161" s="114" t="e">
        <f>#REF!+AL56+#REF!+#REF!+#REF!+AL89+AL135+#REF!+AL159+AL160</f>
        <v>#REF!</v>
      </c>
      <c r="AM161" s="76" t="e">
        <f>AD161-AE161-AF161-AG161-AH161</f>
        <v>#REF!</v>
      </c>
    </row>
    <row r="162" spans="22:39" ht="13.5">
      <c r="V162" s="146"/>
      <c r="W162" s="76"/>
      <c r="AD162" s="76"/>
      <c r="AE162" s="76"/>
      <c r="AF162" s="115"/>
      <c r="AG162" s="115"/>
      <c r="AH162" s="25"/>
      <c r="AI162" s="115"/>
      <c r="AJ162" s="115"/>
      <c r="AK162" s="146"/>
      <c r="AL162" s="113"/>
      <c r="AM162" s="76"/>
    </row>
    <row r="163" spans="22:39" ht="37.5" customHeight="1">
      <c r="V163" s="146"/>
      <c r="AF163" s="115"/>
      <c r="AG163" s="25"/>
      <c r="AH163" s="25"/>
      <c r="AI163" s="25"/>
      <c r="AJ163" s="25"/>
      <c r="AK163" s="146"/>
      <c r="AM163" s="76"/>
    </row>
    <row r="164" spans="22:39" ht="13.5" hidden="1">
      <c r="V164" s="146"/>
      <c r="W164" s="76" t="e">
        <f>W158-W161</f>
        <v>#REF!</v>
      </c>
      <c r="AD164" s="76" t="e">
        <f>AD158-AD161</f>
        <v>#REF!</v>
      </c>
      <c r="AE164" s="76" t="e">
        <f>AE158-AE161</f>
        <v>#REF!</v>
      </c>
      <c r="AF164" s="115"/>
      <c r="AG164" s="115"/>
      <c r="AH164" s="115"/>
      <c r="AI164" s="115"/>
      <c r="AJ164" s="115"/>
      <c r="AK164" s="146"/>
      <c r="AM164" s="76" t="e">
        <f>AD164-AE164-AF164-AG164-AH164</f>
        <v>#REF!</v>
      </c>
    </row>
    <row r="165" spans="22:37" ht="13.5">
      <c r="V165" s="146"/>
      <c r="AF165" s="25"/>
      <c r="AG165" s="25"/>
      <c r="AH165" s="25"/>
      <c r="AI165" s="25"/>
      <c r="AJ165" s="25"/>
      <c r="AK165" s="146"/>
    </row>
    <row r="166" spans="22:37" ht="13.5">
      <c r="V166" s="146"/>
      <c r="AF166" s="25"/>
      <c r="AG166" s="25"/>
      <c r="AH166" s="116"/>
      <c r="AI166" s="25"/>
      <c r="AJ166" s="25"/>
      <c r="AK166" s="146"/>
    </row>
    <row r="167" spans="22:37" ht="13.5">
      <c r="V167" s="146"/>
      <c r="AF167" s="25"/>
      <c r="AG167" s="25"/>
      <c r="AH167" s="62"/>
      <c r="AI167" s="25"/>
      <c r="AJ167" s="25"/>
      <c r="AK167" s="146"/>
    </row>
    <row r="168" spans="22:37" ht="13.5">
      <c r="V168" s="146"/>
      <c r="AF168" s="25"/>
      <c r="AG168" s="25"/>
      <c r="AH168" s="117"/>
      <c r="AI168" s="25"/>
      <c r="AJ168" s="25"/>
      <c r="AK168" s="146"/>
    </row>
    <row r="169" spans="22:37" ht="13.5">
      <c r="V169" s="146"/>
      <c r="AF169" s="854"/>
      <c r="AG169" s="854"/>
      <c r="AH169" s="117"/>
      <c r="AI169" s="25"/>
      <c r="AJ169" s="25"/>
      <c r="AK169" s="146"/>
    </row>
  </sheetData>
  <mergeCells count="10">
    <mergeCell ref="X2:AE2"/>
    <mergeCell ref="A9:A10"/>
    <mergeCell ref="AE5:AH5"/>
    <mergeCell ref="AF169:AG169"/>
    <mergeCell ref="Y5:AB5"/>
    <mergeCell ref="A66:A68"/>
    <mergeCell ref="F5:I5"/>
    <mergeCell ref="A60:A61"/>
    <mergeCell ref="P5:S5"/>
    <mergeCell ref="K5:N5"/>
  </mergeCells>
  <printOptions/>
  <pageMargins left="0.34" right="0.1968503937007874" top="0.4330708661417323" bottom="0.4724409448818898" header="0.2362204724409449" footer="0.2362204724409449"/>
  <pageSetup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X70"/>
  <sheetViews>
    <sheetView view="pageBreakPreview" zoomScale="90" zoomScaleSheetLayoutView="90" workbookViewId="0" topLeftCell="A1">
      <pane xSplit="5" ySplit="6" topLeftCell="K50" activePane="bottomRight" state="frozen"/>
      <selection pane="topLeft" activeCell="A1" sqref="A1"/>
      <selection pane="topRight" activeCell="E1" sqref="E1"/>
      <selection pane="bottomLeft" activeCell="A7" sqref="A7"/>
      <selection pane="bottomRight" activeCell="AL56" sqref="AL56"/>
    </sheetView>
  </sheetViews>
  <sheetFormatPr defaultColWidth="9.00390625" defaultRowHeight="13.5"/>
  <cols>
    <col min="1" max="1" width="4.125" style="66" customWidth="1"/>
    <col min="2" max="2" width="3.00390625" style="66" customWidth="1"/>
    <col min="3" max="3" width="4.875" style="66" customWidth="1"/>
    <col min="4" max="4" width="7.50390625" style="66" customWidth="1"/>
    <col min="5" max="5" width="11.00390625" style="66" customWidth="1"/>
    <col min="6" max="6" width="11.00390625" style="66" hidden="1" customWidth="1"/>
    <col min="7" max="7" width="10.25390625" style="66" hidden="1" customWidth="1"/>
    <col min="8" max="8" width="9.25390625" style="66" hidden="1" customWidth="1"/>
    <col min="9" max="9" width="9.25390625" style="619" hidden="1" customWidth="1"/>
    <col min="10" max="10" width="13.50390625" style="619" hidden="1" customWidth="1"/>
    <col min="11" max="11" width="11.00390625" style="66" customWidth="1"/>
    <col min="12" max="15" width="11.00390625" style="66" hidden="1" customWidth="1"/>
    <col min="16" max="20" width="11.00390625" style="751" customWidth="1"/>
    <col min="21" max="21" width="12.375" style="751" customWidth="1"/>
    <col min="22" max="22" width="16.50390625" style="147" customWidth="1"/>
    <col min="23" max="36" width="16.50390625" style="66" hidden="1" customWidth="1"/>
    <col min="37" max="37" width="16.50390625" style="147" hidden="1" customWidth="1"/>
    <col min="38" max="38" width="16.50390625" style="66" customWidth="1"/>
    <col min="39" max="39" width="10.25390625" style="66" customWidth="1"/>
    <col min="40" max="40" width="3.25390625" style="66" customWidth="1"/>
    <col min="41" max="41" width="15.75390625" style="66" customWidth="1"/>
    <col min="42" max="42" width="16.125" style="66" customWidth="1"/>
    <col min="43" max="44" width="10.125" style="66" customWidth="1"/>
    <col min="45" max="45" width="15.25390625" style="66" customWidth="1"/>
    <col min="46" max="47" width="11.125" style="66" customWidth="1"/>
    <col min="48" max="48" width="18.125" style="66" customWidth="1"/>
    <col min="49" max="49" width="13.875" style="66" customWidth="1"/>
    <col min="50" max="50" width="9.375" style="66" bestFit="1" customWidth="1"/>
    <col min="51" max="16384" width="9.00390625" style="66" customWidth="1"/>
  </cols>
  <sheetData>
    <row r="1" spans="2:37" ht="26.25" customHeight="1">
      <c r="B1" s="70"/>
      <c r="C1" s="71"/>
      <c r="D1" s="72"/>
      <c r="E1" s="29"/>
      <c r="F1" s="29"/>
      <c r="G1" s="29"/>
      <c r="H1" s="29"/>
      <c r="I1" s="29"/>
      <c r="J1" s="29"/>
      <c r="K1" s="29"/>
      <c r="L1" s="29"/>
      <c r="M1" s="29"/>
      <c r="N1" s="29"/>
      <c r="O1" s="29"/>
      <c r="P1" s="731"/>
      <c r="Q1" s="749" t="s">
        <v>772</v>
      </c>
      <c r="R1" s="731"/>
      <c r="S1" s="731"/>
      <c r="T1" s="731"/>
      <c r="U1" s="731"/>
      <c r="V1" s="140"/>
      <c r="W1" s="29"/>
      <c r="X1" s="29"/>
      <c r="Y1" s="29"/>
      <c r="Z1" s="29"/>
      <c r="AA1" s="29"/>
      <c r="AB1" s="29"/>
      <c r="AC1" s="29"/>
      <c r="AD1" s="29"/>
      <c r="AE1" s="29"/>
      <c r="AF1" s="29"/>
      <c r="AG1" s="29"/>
      <c r="AH1" s="29"/>
      <c r="AI1" s="29"/>
      <c r="AJ1" s="29"/>
      <c r="AK1" s="140"/>
    </row>
    <row r="2" spans="2:37" ht="29.25" customHeight="1" thickBot="1">
      <c r="B2" s="70"/>
      <c r="C2" s="71"/>
      <c r="D2" s="72"/>
      <c r="E2" s="29"/>
      <c r="F2" s="29"/>
      <c r="G2" s="29"/>
      <c r="H2" s="29"/>
      <c r="I2" s="29"/>
      <c r="J2" s="29"/>
      <c r="K2" s="29"/>
      <c r="L2" s="29"/>
      <c r="M2" s="29"/>
      <c r="N2" s="29"/>
      <c r="O2" s="29"/>
      <c r="P2" s="731"/>
      <c r="Q2" s="749" t="s">
        <v>773</v>
      </c>
      <c r="R2" s="731"/>
      <c r="S2" s="731"/>
      <c r="T2" s="731"/>
      <c r="U2" s="731"/>
      <c r="V2" s="140" t="s">
        <v>548</v>
      </c>
      <c r="W2" s="29"/>
      <c r="X2" s="825" t="s">
        <v>7</v>
      </c>
      <c r="Y2" s="825"/>
      <c r="Z2" s="825"/>
      <c r="AA2" s="825"/>
      <c r="AB2" s="825"/>
      <c r="AC2" s="825"/>
      <c r="AD2" s="825"/>
      <c r="AE2" s="825"/>
      <c r="AF2" s="29"/>
      <c r="AG2" s="378" t="s">
        <v>246</v>
      </c>
      <c r="AH2" s="29"/>
      <c r="AI2" s="29"/>
      <c r="AJ2" s="29"/>
      <c r="AK2" s="141" t="s">
        <v>547</v>
      </c>
    </row>
    <row r="3" spans="3:37" ht="17.25" customHeight="1">
      <c r="C3" s="73"/>
      <c r="D3" s="74" t="s">
        <v>158</v>
      </c>
      <c r="E3" s="75" t="s">
        <v>614</v>
      </c>
      <c r="F3" s="75"/>
      <c r="G3" s="75"/>
      <c r="H3" s="75"/>
      <c r="I3" s="618"/>
      <c r="J3" s="618"/>
      <c r="K3" s="75"/>
      <c r="L3" s="75"/>
      <c r="M3" s="75"/>
      <c r="N3" s="75"/>
      <c r="O3" s="75"/>
      <c r="P3" s="732"/>
      <c r="Q3" s="732"/>
      <c r="R3" s="732"/>
      <c r="S3" s="732"/>
      <c r="T3" s="732"/>
      <c r="U3" s="732"/>
      <c r="V3" s="141"/>
      <c r="W3" s="76"/>
      <c r="X3" s="75"/>
      <c r="Y3" s="75"/>
      <c r="Z3" s="75"/>
      <c r="AA3" s="75"/>
      <c r="AB3" s="75"/>
      <c r="AC3" s="75"/>
      <c r="AD3" s="76"/>
      <c r="AF3" s="76"/>
      <c r="AG3" s="76"/>
      <c r="AH3" s="77" t="s">
        <v>123</v>
      </c>
      <c r="AI3" s="77"/>
      <c r="AJ3" s="77"/>
      <c r="AK3" s="141"/>
    </row>
    <row r="4" spans="3:37" ht="16.5" customHeight="1" thickBot="1">
      <c r="C4" s="73"/>
      <c r="D4" s="73"/>
      <c r="P4" s="737"/>
      <c r="V4" s="141"/>
      <c r="W4" s="78" t="s">
        <v>122</v>
      </c>
      <c r="AD4" s="78" t="s">
        <v>122</v>
      </c>
      <c r="AF4" s="79"/>
      <c r="AG4" s="378"/>
      <c r="AH4" s="80"/>
      <c r="AI4" s="81"/>
      <c r="AJ4" s="81"/>
      <c r="AK4" s="141"/>
    </row>
    <row r="5" spans="2:49" ht="21.75" customHeight="1">
      <c r="B5" s="82" t="s">
        <v>138</v>
      </c>
      <c r="C5" s="83" t="s">
        <v>301</v>
      </c>
      <c r="D5" s="84" t="s">
        <v>435</v>
      </c>
      <c r="E5" s="136" t="s">
        <v>120</v>
      </c>
      <c r="F5" s="403" t="s">
        <v>119</v>
      </c>
      <c r="G5" s="855" t="s">
        <v>172</v>
      </c>
      <c r="H5" s="855"/>
      <c r="I5" s="855"/>
      <c r="J5" s="856"/>
      <c r="K5" s="810" t="s">
        <v>119</v>
      </c>
      <c r="L5" s="859" t="s">
        <v>117</v>
      </c>
      <c r="M5" s="859"/>
      <c r="N5" s="859"/>
      <c r="O5" s="859"/>
      <c r="P5" s="738" t="s">
        <v>724</v>
      </c>
      <c r="Q5" s="857" t="s">
        <v>117</v>
      </c>
      <c r="R5" s="857"/>
      <c r="S5" s="857"/>
      <c r="T5" s="858"/>
      <c r="U5" s="735"/>
      <c r="V5" s="86" t="s">
        <v>116</v>
      </c>
      <c r="W5" s="651" t="s">
        <v>543</v>
      </c>
      <c r="X5" s="403" t="s">
        <v>119</v>
      </c>
      <c r="Y5" s="855" t="s">
        <v>720</v>
      </c>
      <c r="Z5" s="855"/>
      <c r="AA5" s="855"/>
      <c r="AB5" s="855"/>
      <c r="AC5" s="404"/>
      <c r="AD5" s="225" t="s">
        <v>542</v>
      </c>
      <c r="AE5" s="852" t="s">
        <v>545</v>
      </c>
      <c r="AF5" s="852"/>
      <c r="AG5" s="852"/>
      <c r="AH5" s="853"/>
      <c r="AI5" s="85" t="s">
        <v>763</v>
      </c>
      <c r="AJ5" s="84"/>
      <c r="AK5" s="86" t="s">
        <v>116</v>
      </c>
      <c r="AM5" s="28" t="s">
        <v>803</v>
      </c>
      <c r="AO5" s="127" t="s">
        <v>140</v>
      </c>
      <c r="AP5" s="127" t="s">
        <v>142</v>
      </c>
      <c r="AQ5" s="127" t="s">
        <v>681</v>
      </c>
      <c r="AR5" s="127" t="s">
        <v>288</v>
      </c>
      <c r="AS5" s="127" t="s">
        <v>778</v>
      </c>
      <c r="AT5" s="127" t="s">
        <v>683</v>
      </c>
      <c r="AU5" s="127"/>
      <c r="AV5" s="127" t="s">
        <v>802</v>
      </c>
      <c r="AW5" s="127" t="s">
        <v>42</v>
      </c>
    </row>
    <row r="6" spans="2:38" ht="21.75" customHeight="1" thickBot="1">
      <c r="B6" s="122"/>
      <c r="C6" s="123"/>
      <c r="D6" s="124"/>
      <c r="E6" s="137"/>
      <c r="F6" s="405" t="s">
        <v>171</v>
      </c>
      <c r="G6" s="406" t="s">
        <v>115</v>
      </c>
      <c r="H6" s="407" t="s">
        <v>114</v>
      </c>
      <c r="I6" s="620" t="s">
        <v>113</v>
      </c>
      <c r="J6" s="640" t="s">
        <v>112</v>
      </c>
      <c r="K6" s="811" t="s">
        <v>544</v>
      </c>
      <c r="L6" s="812" t="s">
        <v>115</v>
      </c>
      <c r="M6" s="813" t="s">
        <v>114</v>
      </c>
      <c r="N6" s="813" t="s">
        <v>113</v>
      </c>
      <c r="O6" s="813" t="s">
        <v>112</v>
      </c>
      <c r="P6" s="814"/>
      <c r="Q6" s="740" t="s">
        <v>115</v>
      </c>
      <c r="R6" s="741" t="s">
        <v>114</v>
      </c>
      <c r="S6" s="741" t="s">
        <v>113</v>
      </c>
      <c r="T6" s="742" t="s">
        <v>112</v>
      </c>
      <c r="U6" s="736" t="s">
        <v>661</v>
      </c>
      <c r="V6" s="87"/>
      <c r="W6" s="652"/>
      <c r="X6" s="405" t="s">
        <v>814</v>
      </c>
      <c r="Y6" s="406" t="s">
        <v>115</v>
      </c>
      <c r="Z6" s="407" t="s">
        <v>114</v>
      </c>
      <c r="AA6" s="407" t="s">
        <v>113</v>
      </c>
      <c r="AB6" s="407" t="s">
        <v>112</v>
      </c>
      <c r="AC6" s="408" t="s">
        <v>661</v>
      </c>
      <c r="AD6" s="228"/>
      <c r="AE6" s="200" t="s">
        <v>115</v>
      </c>
      <c r="AF6" s="201" t="s">
        <v>114</v>
      </c>
      <c r="AG6" s="201" t="s">
        <v>113</v>
      </c>
      <c r="AH6" s="202" t="s">
        <v>112</v>
      </c>
      <c r="AI6" s="125"/>
      <c r="AJ6" s="124"/>
      <c r="AK6" s="87"/>
      <c r="AL6" s="440"/>
    </row>
    <row r="7" spans="1:48" ht="42" customHeight="1">
      <c r="A7" s="66">
        <v>1</v>
      </c>
      <c r="B7" s="151" t="s">
        <v>11</v>
      </c>
      <c r="C7" s="90" t="s">
        <v>28</v>
      </c>
      <c r="D7" s="51" t="s">
        <v>29</v>
      </c>
      <c r="E7" s="50" t="s">
        <v>30</v>
      </c>
      <c r="F7" s="445">
        <v>21925</v>
      </c>
      <c r="G7" s="414"/>
      <c r="H7" s="414"/>
      <c r="I7" s="414"/>
      <c r="J7" s="414"/>
      <c r="K7" s="445" t="s">
        <v>442</v>
      </c>
      <c r="L7" s="445"/>
      <c r="M7" s="445"/>
      <c r="N7" s="445"/>
      <c r="O7" s="445"/>
      <c r="P7" s="445">
        <v>21858</v>
      </c>
      <c r="Q7" s="446"/>
      <c r="R7" s="447">
        <v>21858</v>
      </c>
      <c r="S7" s="447"/>
      <c r="T7" s="450"/>
      <c r="U7" s="756">
        <f aca="true" t="shared" si="0" ref="U7:U15">P7-Q7-R7-S7-T7</f>
        <v>0</v>
      </c>
      <c r="V7" s="129" t="s">
        <v>657</v>
      </c>
      <c r="W7" s="445">
        <v>21925</v>
      </c>
      <c r="X7" s="413" t="s">
        <v>442</v>
      </c>
      <c r="Y7" s="414"/>
      <c r="Z7" s="414"/>
      <c r="AA7" s="414"/>
      <c r="AB7" s="414"/>
      <c r="AC7" s="414"/>
      <c r="AD7" s="445">
        <v>22070</v>
      </c>
      <c r="AE7" s="446"/>
      <c r="AF7" s="447">
        <v>21925</v>
      </c>
      <c r="AG7" s="447"/>
      <c r="AH7" s="450"/>
      <c r="AI7" s="449"/>
      <c r="AJ7" s="448"/>
      <c r="AK7" s="129" t="s">
        <v>657</v>
      </c>
      <c r="AL7" s="440" t="s">
        <v>425</v>
      </c>
      <c r="AM7" s="128">
        <f aca="true" t="shared" si="1" ref="AM7:AM15">W7-AE7-AF7-AG7-AH7</f>
        <v>0</v>
      </c>
      <c r="AS7" s="35">
        <v>21858</v>
      </c>
      <c r="AU7" s="752">
        <f aca="true" t="shared" si="2" ref="AU7:AU27">SUM(AO7:AT7)</f>
        <v>21858</v>
      </c>
      <c r="AV7" s="207" t="str">
        <f aca="true" t="shared" si="3" ref="AV7:AV15">IF(R7=AU7,"OK","OUT")</f>
        <v>OK</v>
      </c>
    </row>
    <row r="8" spans="1:48" ht="31.5" customHeight="1">
      <c r="A8" s="66">
        <v>2</v>
      </c>
      <c r="B8" s="89"/>
      <c r="C8" s="92"/>
      <c r="D8" s="50"/>
      <c r="E8" s="50" t="s">
        <v>812</v>
      </c>
      <c r="F8" s="445">
        <v>2445</v>
      </c>
      <c r="G8" s="414"/>
      <c r="H8" s="414"/>
      <c r="I8" s="414"/>
      <c r="J8" s="414">
        <v>2801</v>
      </c>
      <c r="K8" s="445">
        <v>1797</v>
      </c>
      <c r="L8" s="445"/>
      <c r="M8" s="445"/>
      <c r="N8" s="445"/>
      <c r="O8" s="445"/>
      <c r="P8" s="445">
        <v>3449</v>
      </c>
      <c r="Q8" s="446"/>
      <c r="R8" s="447"/>
      <c r="S8" s="447"/>
      <c r="T8" s="450">
        <v>3449</v>
      </c>
      <c r="U8" s="756">
        <f t="shared" si="0"/>
        <v>0</v>
      </c>
      <c r="V8" s="142" t="s">
        <v>174</v>
      </c>
      <c r="W8" s="445">
        <v>2801</v>
      </c>
      <c r="X8" s="413">
        <v>2677</v>
      </c>
      <c r="Y8" s="414"/>
      <c r="Z8" s="414"/>
      <c r="AA8" s="414"/>
      <c r="AB8" s="414"/>
      <c r="AC8" s="414"/>
      <c r="AD8" s="445">
        <v>2569</v>
      </c>
      <c r="AE8" s="446"/>
      <c r="AF8" s="447"/>
      <c r="AG8" s="447"/>
      <c r="AH8" s="450">
        <v>2801</v>
      </c>
      <c r="AI8" s="449"/>
      <c r="AJ8" s="448"/>
      <c r="AK8" s="142" t="s">
        <v>174</v>
      </c>
      <c r="AL8" s="440" t="s">
        <v>425</v>
      </c>
      <c r="AM8" s="128">
        <f t="shared" si="1"/>
        <v>0</v>
      </c>
      <c r="AS8" s="35"/>
      <c r="AU8" s="752">
        <f t="shared" si="2"/>
        <v>0</v>
      </c>
      <c r="AV8" s="207" t="str">
        <f t="shared" si="3"/>
        <v>OK</v>
      </c>
    </row>
    <row r="9" spans="1:48" ht="55.5" customHeight="1" thickBot="1">
      <c r="A9" s="66">
        <v>3</v>
      </c>
      <c r="B9" s="89"/>
      <c r="C9" s="90" t="s">
        <v>448</v>
      </c>
      <c r="D9" s="51" t="s">
        <v>822</v>
      </c>
      <c r="E9" s="50" t="s">
        <v>823</v>
      </c>
      <c r="F9" s="445">
        <v>280</v>
      </c>
      <c r="G9" s="414"/>
      <c r="H9" s="414">
        <v>76</v>
      </c>
      <c r="I9" s="414"/>
      <c r="J9" s="414">
        <v>204</v>
      </c>
      <c r="K9" s="445">
        <v>204</v>
      </c>
      <c r="L9" s="445"/>
      <c r="M9" s="445"/>
      <c r="N9" s="445"/>
      <c r="O9" s="445"/>
      <c r="P9" s="445">
        <v>10000</v>
      </c>
      <c r="Q9" s="446"/>
      <c r="R9" s="447"/>
      <c r="S9" s="447"/>
      <c r="T9" s="450">
        <v>10000</v>
      </c>
      <c r="U9" s="756">
        <f t="shared" si="0"/>
        <v>0</v>
      </c>
      <c r="V9" s="142" t="s">
        <v>824</v>
      </c>
      <c r="W9" s="445">
        <v>10000</v>
      </c>
      <c r="X9" s="413">
        <v>292</v>
      </c>
      <c r="Y9" s="414"/>
      <c r="Z9" s="414"/>
      <c r="AA9" s="414"/>
      <c r="AB9" s="414"/>
      <c r="AC9" s="414"/>
      <c r="AD9" s="445">
        <v>10000</v>
      </c>
      <c r="AE9" s="446"/>
      <c r="AF9" s="447"/>
      <c r="AG9" s="447"/>
      <c r="AH9" s="450">
        <v>10000</v>
      </c>
      <c r="AI9" s="449"/>
      <c r="AJ9" s="448"/>
      <c r="AK9" s="142" t="s">
        <v>824</v>
      </c>
      <c r="AL9" s="440" t="s">
        <v>425</v>
      </c>
      <c r="AM9" s="128">
        <f t="shared" si="1"/>
        <v>0</v>
      </c>
      <c r="AS9" s="62"/>
      <c r="AU9" s="752">
        <f t="shared" si="2"/>
        <v>0</v>
      </c>
      <c r="AV9" s="207" t="str">
        <f t="shared" si="3"/>
        <v>OK</v>
      </c>
    </row>
    <row r="10" spans="2:48" ht="31.5" customHeight="1" thickBot="1">
      <c r="B10" s="95"/>
      <c r="C10" s="96"/>
      <c r="D10" s="57"/>
      <c r="E10" s="57" t="s">
        <v>403</v>
      </c>
      <c r="F10" s="467">
        <f aca="true" t="shared" si="4" ref="F10:K10">SUM(F7:F9)</f>
        <v>24650</v>
      </c>
      <c r="G10" s="373">
        <f t="shared" si="4"/>
        <v>0</v>
      </c>
      <c r="H10" s="373">
        <f t="shared" si="4"/>
        <v>76</v>
      </c>
      <c r="I10" s="373">
        <f t="shared" si="4"/>
        <v>0</v>
      </c>
      <c r="J10" s="373">
        <f t="shared" si="4"/>
        <v>3005</v>
      </c>
      <c r="K10" s="467">
        <f t="shared" si="4"/>
        <v>2001</v>
      </c>
      <c r="L10" s="467"/>
      <c r="M10" s="467"/>
      <c r="N10" s="467"/>
      <c r="O10" s="467"/>
      <c r="P10" s="467">
        <f>SUM(P7:P9)</f>
        <v>35307</v>
      </c>
      <c r="Q10" s="466">
        <f>SUM(Q7:Q9)</f>
        <v>0</v>
      </c>
      <c r="R10" s="464">
        <f>SUM(R7:R9)</f>
        <v>21858</v>
      </c>
      <c r="S10" s="464">
        <f>SUM(S7:S9)</f>
        <v>0</v>
      </c>
      <c r="T10" s="465">
        <f>SUM(T7:T9)</f>
        <v>13449</v>
      </c>
      <c r="U10" s="756">
        <f t="shared" si="0"/>
        <v>0</v>
      </c>
      <c r="V10" s="144"/>
      <c r="W10" s="467">
        <f aca="true" t="shared" si="5" ref="W10:AB10">SUM(W7:W9)</f>
        <v>34726</v>
      </c>
      <c r="X10" s="759">
        <f t="shared" si="5"/>
        <v>2969</v>
      </c>
      <c r="Y10" s="373">
        <f t="shared" si="5"/>
        <v>0</v>
      </c>
      <c r="Z10" s="373">
        <f t="shared" si="5"/>
        <v>0</v>
      </c>
      <c r="AA10" s="373">
        <f t="shared" si="5"/>
        <v>0</v>
      </c>
      <c r="AB10" s="373">
        <f t="shared" si="5"/>
        <v>0</v>
      </c>
      <c r="AC10" s="373"/>
      <c r="AD10" s="467">
        <f>SUM(AD7:AD9)</f>
        <v>34639</v>
      </c>
      <c r="AE10" s="466">
        <f>SUM(AE7:AE9)</f>
        <v>0</v>
      </c>
      <c r="AF10" s="464">
        <f>SUM(AF7:AF9)</f>
        <v>21925</v>
      </c>
      <c r="AG10" s="464">
        <f>SUM(AG7:AG9)</f>
        <v>0</v>
      </c>
      <c r="AH10" s="465">
        <f>SUM(AH7:AH9)</f>
        <v>12801</v>
      </c>
      <c r="AI10" s="466"/>
      <c r="AJ10" s="465"/>
      <c r="AK10" s="144"/>
      <c r="AL10" s="440"/>
      <c r="AM10" s="128">
        <f t="shared" si="1"/>
        <v>0</v>
      </c>
      <c r="AO10" s="59">
        <f aca="true" t="shared" si="6" ref="AO10:AT10">SUM(AO7:AO9)</f>
        <v>0</v>
      </c>
      <c r="AP10" s="59">
        <f t="shared" si="6"/>
        <v>0</v>
      </c>
      <c r="AQ10" s="59">
        <f t="shared" si="6"/>
        <v>0</v>
      </c>
      <c r="AR10" s="59">
        <f t="shared" si="6"/>
        <v>0</v>
      </c>
      <c r="AS10" s="59">
        <f t="shared" si="6"/>
        <v>21858</v>
      </c>
      <c r="AT10" s="59">
        <f t="shared" si="6"/>
        <v>0</v>
      </c>
      <c r="AU10" s="752">
        <f t="shared" si="2"/>
        <v>21858</v>
      </c>
      <c r="AV10" s="207" t="str">
        <f t="shared" si="3"/>
        <v>OK</v>
      </c>
    </row>
    <row r="11" spans="1:48" ht="43.5" customHeight="1">
      <c r="A11" s="66">
        <v>4</v>
      </c>
      <c r="B11" s="89" t="s">
        <v>303</v>
      </c>
      <c r="C11" s="91" t="s">
        <v>304</v>
      </c>
      <c r="D11" s="51" t="s">
        <v>456</v>
      </c>
      <c r="E11" s="50" t="s">
        <v>457</v>
      </c>
      <c r="F11" s="445">
        <v>396073</v>
      </c>
      <c r="G11" s="414"/>
      <c r="H11" s="414"/>
      <c r="I11" s="414"/>
      <c r="J11" s="414">
        <v>396073</v>
      </c>
      <c r="K11" s="445">
        <v>378638</v>
      </c>
      <c r="L11" s="445"/>
      <c r="M11" s="445"/>
      <c r="N11" s="445"/>
      <c r="O11" s="445"/>
      <c r="P11" s="445">
        <v>71338</v>
      </c>
      <c r="Q11" s="446"/>
      <c r="R11" s="447"/>
      <c r="S11" s="447"/>
      <c r="T11" s="450">
        <v>71338</v>
      </c>
      <c r="U11" s="756">
        <f t="shared" si="0"/>
        <v>0</v>
      </c>
      <c r="V11" s="142" t="s">
        <v>177</v>
      </c>
      <c r="W11" s="445">
        <v>53903</v>
      </c>
      <c r="X11" s="413">
        <v>393308</v>
      </c>
      <c r="Y11" s="414"/>
      <c r="Z11" s="414"/>
      <c r="AA11" s="414"/>
      <c r="AB11" s="414"/>
      <c r="AC11" s="414"/>
      <c r="AD11" s="445">
        <v>56668</v>
      </c>
      <c r="AE11" s="446"/>
      <c r="AF11" s="447"/>
      <c r="AG11" s="447"/>
      <c r="AH11" s="450">
        <v>53903</v>
      </c>
      <c r="AI11" s="449"/>
      <c r="AJ11" s="448"/>
      <c r="AK11" s="142" t="s">
        <v>177</v>
      </c>
      <c r="AL11" s="440" t="s">
        <v>425</v>
      </c>
      <c r="AM11" s="128">
        <f t="shared" si="1"/>
        <v>0</v>
      </c>
      <c r="AU11" s="752">
        <f t="shared" si="2"/>
        <v>0</v>
      </c>
      <c r="AV11" s="207" t="str">
        <f t="shared" si="3"/>
        <v>OK</v>
      </c>
    </row>
    <row r="12" spans="1:48" ht="45.75" customHeight="1">
      <c r="A12" s="66">
        <v>5</v>
      </c>
      <c r="B12" s="89"/>
      <c r="C12" s="94" t="s">
        <v>387</v>
      </c>
      <c r="D12" s="51" t="s">
        <v>53</v>
      </c>
      <c r="E12" s="50" t="s">
        <v>82</v>
      </c>
      <c r="F12" s="445">
        <v>1092557</v>
      </c>
      <c r="G12" s="414">
        <v>12547</v>
      </c>
      <c r="H12" s="414"/>
      <c r="I12" s="414"/>
      <c r="J12" s="414">
        <v>1080010</v>
      </c>
      <c r="K12" s="445">
        <v>1157851</v>
      </c>
      <c r="L12" s="445"/>
      <c r="M12" s="445"/>
      <c r="N12" s="445"/>
      <c r="O12" s="445"/>
      <c r="P12" s="445">
        <v>3000</v>
      </c>
      <c r="Q12" s="446"/>
      <c r="R12" s="447"/>
      <c r="S12" s="447"/>
      <c r="T12" s="450">
        <v>3000</v>
      </c>
      <c r="U12" s="756">
        <f t="shared" si="0"/>
        <v>0</v>
      </c>
      <c r="V12" s="129" t="s">
        <v>819</v>
      </c>
      <c r="W12" s="445">
        <v>3000</v>
      </c>
      <c r="X12" s="413">
        <v>984530</v>
      </c>
      <c r="Y12" s="414"/>
      <c r="Z12" s="414"/>
      <c r="AA12" s="414"/>
      <c r="AB12" s="414"/>
      <c r="AC12" s="414"/>
      <c r="AD12" s="445">
        <v>3000</v>
      </c>
      <c r="AE12" s="446"/>
      <c r="AF12" s="447"/>
      <c r="AG12" s="447"/>
      <c r="AH12" s="450">
        <v>3000</v>
      </c>
      <c r="AI12" s="449"/>
      <c r="AJ12" s="448"/>
      <c r="AK12" s="129" t="s">
        <v>819</v>
      </c>
      <c r="AL12" s="440" t="s">
        <v>425</v>
      </c>
      <c r="AM12" s="128">
        <f t="shared" si="1"/>
        <v>0</v>
      </c>
      <c r="AU12" s="752">
        <f t="shared" si="2"/>
        <v>0</v>
      </c>
      <c r="AV12" s="207" t="str">
        <f t="shared" si="3"/>
        <v>OK</v>
      </c>
    </row>
    <row r="13" spans="1:48" ht="45.75" customHeight="1">
      <c r="A13" s="66">
        <v>6</v>
      </c>
      <c r="B13" s="89"/>
      <c r="C13" s="214"/>
      <c r="D13" s="51" t="s">
        <v>466</v>
      </c>
      <c r="E13" s="50" t="s">
        <v>467</v>
      </c>
      <c r="F13" s="445">
        <v>191376</v>
      </c>
      <c r="G13" s="414"/>
      <c r="H13" s="414"/>
      <c r="I13" s="414"/>
      <c r="J13" s="414">
        <v>191376</v>
      </c>
      <c r="K13" s="445">
        <v>188982</v>
      </c>
      <c r="L13" s="445"/>
      <c r="M13" s="445"/>
      <c r="N13" s="445"/>
      <c r="O13" s="445"/>
      <c r="P13" s="445">
        <v>40386</v>
      </c>
      <c r="Q13" s="446"/>
      <c r="R13" s="447"/>
      <c r="S13" s="447"/>
      <c r="T13" s="450">
        <v>40386</v>
      </c>
      <c r="U13" s="756">
        <f t="shared" si="0"/>
        <v>0</v>
      </c>
      <c r="V13" s="38" t="s">
        <v>553</v>
      </c>
      <c r="W13" s="445">
        <v>37992</v>
      </c>
      <c r="X13" s="413">
        <v>183024</v>
      </c>
      <c r="Y13" s="414"/>
      <c r="Z13" s="414"/>
      <c r="AA13" s="414"/>
      <c r="AB13" s="414"/>
      <c r="AC13" s="414"/>
      <c r="AD13" s="445">
        <v>46344</v>
      </c>
      <c r="AE13" s="446"/>
      <c r="AF13" s="447"/>
      <c r="AG13" s="447"/>
      <c r="AH13" s="450">
        <v>37992</v>
      </c>
      <c r="AI13" s="154"/>
      <c r="AJ13" s="448"/>
      <c r="AK13" s="38" t="s">
        <v>178</v>
      </c>
      <c r="AL13" s="441" t="s">
        <v>425</v>
      </c>
      <c r="AM13" s="128">
        <f t="shared" si="1"/>
        <v>0</v>
      </c>
      <c r="AT13" s="76"/>
      <c r="AU13" s="752">
        <f t="shared" si="2"/>
        <v>0</v>
      </c>
      <c r="AV13" s="207" t="str">
        <f t="shared" si="3"/>
        <v>OK</v>
      </c>
    </row>
    <row r="14" spans="1:48" ht="45.75" customHeight="1">
      <c r="A14" s="66">
        <v>7</v>
      </c>
      <c r="B14" s="89"/>
      <c r="C14" s="214"/>
      <c r="D14" s="50"/>
      <c r="E14" s="50" t="s">
        <v>75</v>
      </c>
      <c r="F14" s="445"/>
      <c r="G14" s="414"/>
      <c r="H14" s="414"/>
      <c r="I14" s="414"/>
      <c r="J14" s="414"/>
      <c r="K14" s="445">
        <v>292022</v>
      </c>
      <c r="L14" s="445"/>
      <c r="M14" s="445"/>
      <c r="N14" s="445"/>
      <c r="O14" s="445"/>
      <c r="P14" s="445">
        <v>15978</v>
      </c>
      <c r="Q14" s="446"/>
      <c r="R14" s="447"/>
      <c r="S14" s="447"/>
      <c r="T14" s="450">
        <v>15978</v>
      </c>
      <c r="U14" s="756">
        <f t="shared" si="0"/>
        <v>0</v>
      </c>
      <c r="V14" s="38" t="s">
        <v>566</v>
      </c>
      <c r="W14" s="445"/>
      <c r="X14" s="413"/>
      <c r="Y14" s="414"/>
      <c r="Z14" s="414"/>
      <c r="AA14" s="414"/>
      <c r="AB14" s="414"/>
      <c r="AC14" s="414"/>
      <c r="AD14" s="445"/>
      <c r="AE14" s="446"/>
      <c r="AF14" s="447"/>
      <c r="AG14" s="447"/>
      <c r="AH14" s="450"/>
      <c r="AI14" s="154"/>
      <c r="AJ14" s="448"/>
      <c r="AK14" s="38"/>
      <c r="AL14" s="441" t="s">
        <v>425</v>
      </c>
      <c r="AM14" s="128">
        <f t="shared" si="1"/>
        <v>0</v>
      </c>
      <c r="AT14" s="76"/>
      <c r="AU14" s="752">
        <f t="shared" si="2"/>
        <v>0</v>
      </c>
      <c r="AV14" s="207" t="str">
        <f t="shared" si="3"/>
        <v>OK</v>
      </c>
    </row>
    <row r="15" spans="1:48" ht="57" customHeight="1">
      <c r="A15" s="66">
        <v>8</v>
      </c>
      <c r="B15" s="89"/>
      <c r="C15" s="214"/>
      <c r="D15" s="38" t="s">
        <v>37</v>
      </c>
      <c r="E15" s="50" t="s">
        <v>426</v>
      </c>
      <c r="F15" s="445">
        <v>5512961</v>
      </c>
      <c r="G15" s="414"/>
      <c r="H15" s="414"/>
      <c r="I15" s="414"/>
      <c r="J15" s="414">
        <v>5512961</v>
      </c>
      <c r="K15" s="445">
        <v>5635465</v>
      </c>
      <c r="L15" s="445"/>
      <c r="M15" s="445"/>
      <c r="N15" s="445"/>
      <c r="O15" s="445"/>
      <c r="P15" s="445">
        <v>160000</v>
      </c>
      <c r="Q15" s="446"/>
      <c r="R15" s="447"/>
      <c r="S15" s="447"/>
      <c r="T15" s="450">
        <v>160000</v>
      </c>
      <c r="U15" s="756">
        <f t="shared" si="0"/>
        <v>0</v>
      </c>
      <c r="V15" s="129" t="s">
        <v>358</v>
      </c>
      <c r="W15" s="445">
        <v>116000</v>
      </c>
      <c r="X15" s="413">
        <v>5213540</v>
      </c>
      <c r="Y15" s="414"/>
      <c r="Z15" s="414"/>
      <c r="AA15" s="414"/>
      <c r="AB15" s="414"/>
      <c r="AC15" s="414"/>
      <c r="AD15" s="445">
        <v>1278000</v>
      </c>
      <c r="AE15" s="446"/>
      <c r="AF15" s="447"/>
      <c r="AG15" s="447"/>
      <c r="AH15" s="450">
        <v>116000</v>
      </c>
      <c r="AI15" s="449"/>
      <c r="AJ15" s="186"/>
      <c r="AK15" s="129" t="s">
        <v>722</v>
      </c>
      <c r="AL15" s="440" t="s">
        <v>425</v>
      </c>
      <c r="AM15" s="128">
        <f t="shared" si="1"/>
        <v>0</v>
      </c>
      <c r="AP15" s="25"/>
      <c r="AU15" s="752">
        <f t="shared" si="2"/>
        <v>0</v>
      </c>
      <c r="AV15" s="207" t="str">
        <f t="shared" si="3"/>
        <v>OK</v>
      </c>
    </row>
    <row r="16" spans="1:48" ht="51.75" customHeight="1">
      <c r="A16" s="66">
        <v>9</v>
      </c>
      <c r="B16" s="89"/>
      <c r="C16" s="90" t="s">
        <v>305</v>
      </c>
      <c r="D16" s="56" t="s">
        <v>431</v>
      </c>
      <c r="E16" s="50" t="s">
        <v>441</v>
      </c>
      <c r="F16" s="445" t="s">
        <v>518</v>
      </c>
      <c r="G16" s="414"/>
      <c r="H16" s="414"/>
      <c r="I16" s="414"/>
      <c r="J16" s="414"/>
      <c r="K16" s="445" t="s">
        <v>518</v>
      </c>
      <c r="L16" s="445"/>
      <c r="M16" s="445"/>
      <c r="N16" s="445"/>
      <c r="O16" s="445"/>
      <c r="P16" s="445">
        <v>8310</v>
      </c>
      <c r="Q16" s="446"/>
      <c r="R16" s="447"/>
      <c r="S16" s="447"/>
      <c r="T16" s="450">
        <v>8310</v>
      </c>
      <c r="U16" s="756">
        <f aca="true" t="shared" si="7" ref="U16:U38">P16-Q16-R16-S16-T16</f>
        <v>0</v>
      </c>
      <c r="V16" s="142" t="s">
        <v>179</v>
      </c>
      <c r="W16" s="445">
        <v>8310</v>
      </c>
      <c r="X16" s="413" t="s">
        <v>518</v>
      </c>
      <c r="Y16" s="414"/>
      <c r="Z16" s="414"/>
      <c r="AA16" s="414"/>
      <c r="AB16" s="414"/>
      <c r="AC16" s="414"/>
      <c r="AD16" s="445">
        <v>8310</v>
      </c>
      <c r="AE16" s="446"/>
      <c r="AF16" s="447"/>
      <c r="AG16" s="447"/>
      <c r="AH16" s="450">
        <v>8310</v>
      </c>
      <c r="AI16" s="449"/>
      <c r="AJ16" s="448"/>
      <c r="AK16" s="142" t="s">
        <v>179</v>
      </c>
      <c r="AL16" s="440" t="s">
        <v>425</v>
      </c>
      <c r="AM16" s="128">
        <f aca="true" t="shared" si="8" ref="AM16:AM38">W16-AE16-AF16-AG16-AH16</f>
        <v>0</v>
      </c>
      <c r="AS16" s="25"/>
      <c r="AU16" s="752">
        <f t="shared" si="2"/>
        <v>0</v>
      </c>
      <c r="AV16" s="207" t="str">
        <f aca="true" t="shared" si="9" ref="AV16:AV38">IF(R16=AU16,"OK","OUT")</f>
        <v>OK</v>
      </c>
    </row>
    <row r="17" spans="1:48" ht="52.5" customHeight="1">
      <c r="A17" s="66">
        <v>10</v>
      </c>
      <c r="B17" s="89"/>
      <c r="C17" s="91"/>
      <c r="D17" s="50"/>
      <c r="E17" s="50" t="s">
        <v>723</v>
      </c>
      <c r="F17" s="445">
        <v>15405</v>
      </c>
      <c r="G17" s="414">
        <v>10269</v>
      </c>
      <c r="H17" s="414"/>
      <c r="I17" s="414"/>
      <c r="J17" s="414">
        <v>5136</v>
      </c>
      <c r="K17" s="445">
        <v>14273</v>
      </c>
      <c r="L17" s="445"/>
      <c r="M17" s="445"/>
      <c r="N17" s="445"/>
      <c r="O17" s="445"/>
      <c r="P17" s="445">
        <v>10000</v>
      </c>
      <c r="Q17" s="446"/>
      <c r="R17" s="447"/>
      <c r="S17" s="447"/>
      <c r="T17" s="450">
        <v>10000</v>
      </c>
      <c r="U17" s="756">
        <f t="shared" si="7"/>
        <v>0</v>
      </c>
      <c r="V17" s="142" t="s">
        <v>760</v>
      </c>
      <c r="W17" s="445">
        <v>10000</v>
      </c>
      <c r="X17" s="413">
        <v>16777</v>
      </c>
      <c r="Y17" s="414"/>
      <c r="Z17" s="414"/>
      <c r="AA17" s="414"/>
      <c r="AB17" s="414"/>
      <c r="AC17" s="414"/>
      <c r="AD17" s="445">
        <v>10000</v>
      </c>
      <c r="AE17" s="446"/>
      <c r="AF17" s="447"/>
      <c r="AG17" s="447"/>
      <c r="AH17" s="450">
        <v>10000</v>
      </c>
      <c r="AI17" s="449"/>
      <c r="AJ17" s="448"/>
      <c r="AK17" s="142" t="s">
        <v>760</v>
      </c>
      <c r="AL17" s="440" t="s">
        <v>425</v>
      </c>
      <c r="AM17" s="128">
        <f t="shared" si="8"/>
        <v>0</v>
      </c>
      <c r="AS17" s="25"/>
      <c r="AU17" s="752">
        <f t="shared" si="2"/>
        <v>0</v>
      </c>
      <c r="AV17" s="207" t="str">
        <f t="shared" si="9"/>
        <v>OK</v>
      </c>
    </row>
    <row r="18" spans="1:48" ht="40.5" customHeight="1">
      <c r="A18" s="66">
        <v>11</v>
      </c>
      <c r="B18" s="89"/>
      <c r="C18" s="91"/>
      <c r="D18" s="50" t="s">
        <v>19</v>
      </c>
      <c r="E18" s="50"/>
      <c r="F18" s="445">
        <v>1869793</v>
      </c>
      <c r="G18" s="414"/>
      <c r="H18" s="414"/>
      <c r="I18" s="414"/>
      <c r="J18" s="414"/>
      <c r="K18" s="445">
        <v>1235448</v>
      </c>
      <c r="L18" s="445"/>
      <c r="M18" s="445"/>
      <c r="N18" s="445"/>
      <c r="O18" s="445"/>
      <c r="P18" s="445">
        <v>1570000</v>
      </c>
      <c r="Q18" s="446"/>
      <c r="R18" s="447"/>
      <c r="S18" s="447"/>
      <c r="T18" s="450">
        <v>1570000</v>
      </c>
      <c r="U18" s="756">
        <f t="shared" si="7"/>
        <v>0</v>
      </c>
      <c r="V18" s="142" t="s">
        <v>827</v>
      </c>
      <c r="W18" s="445">
        <v>1098000</v>
      </c>
      <c r="X18" s="413">
        <v>2014372</v>
      </c>
      <c r="Y18" s="414"/>
      <c r="Z18" s="414"/>
      <c r="AA18" s="414"/>
      <c r="AB18" s="414"/>
      <c r="AC18" s="414"/>
      <c r="AD18" s="445">
        <v>953000</v>
      </c>
      <c r="AE18" s="446"/>
      <c r="AF18" s="447"/>
      <c r="AG18" s="447"/>
      <c r="AH18" s="450">
        <v>1098000</v>
      </c>
      <c r="AI18" s="449"/>
      <c r="AJ18" s="448"/>
      <c r="AK18" s="142" t="s">
        <v>827</v>
      </c>
      <c r="AL18" s="440" t="s">
        <v>425</v>
      </c>
      <c r="AM18" s="128">
        <f t="shared" si="8"/>
        <v>0</v>
      </c>
      <c r="AS18" s="25"/>
      <c r="AU18" s="752">
        <f t="shared" si="2"/>
        <v>0</v>
      </c>
      <c r="AV18" s="207" t="str">
        <f t="shared" si="9"/>
        <v>OK</v>
      </c>
    </row>
    <row r="19" spans="1:48" ht="40.5" customHeight="1">
      <c r="A19" s="66">
        <v>12</v>
      </c>
      <c r="B19" s="89"/>
      <c r="C19" s="91"/>
      <c r="D19" s="50" t="s">
        <v>470</v>
      </c>
      <c r="E19" s="50" t="s">
        <v>300</v>
      </c>
      <c r="F19" s="445" t="s">
        <v>442</v>
      </c>
      <c r="G19" s="414"/>
      <c r="H19" s="414"/>
      <c r="I19" s="414"/>
      <c r="J19" s="414"/>
      <c r="K19" s="445" t="s">
        <v>442</v>
      </c>
      <c r="L19" s="445"/>
      <c r="M19" s="445"/>
      <c r="N19" s="445"/>
      <c r="O19" s="445"/>
      <c r="P19" s="445">
        <v>360000</v>
      </c>
      <c r="Q19" s="446"/>
      <c r="R19" s="447"/>
      <c r="S19" s="447"/>
      <c r="T19" s="450">
        <v>360000</v>
      </c>
      <c r="U19" s="756">
        <f t="shared" si="7"/>
        <v>0</v>
      </c>
      <c r="V19" s="142" t="s">
        <v>239</v>
      </c>
      <c r="W19" s="445">
        <v>500000</v>
      </c>
      <c r="X19" s="413" t="s">
        <v>442</v>
      </c>
      <c r="Y19" s="414"/>
      <c r="Z19" s="414"/>
      <c r="AA19" s="414"/>
      <c r="AB19" s="414"/>
      <c r="AC19" s="414"/>
      <c r="AD19" s="445">
        <v>500000</v>
      </c>
      <c r="AE19" s="446"/>
      <c r="AF19" s="447"/>
      <c r="AG19" s="447"/>
      <c r="AH19" s="450">
        <v>500000</v>
      </c>
      <c r="AI19" s="449"/>
      <c r="AJ19" s="448"/>
      <c r="AK19" s="142" t="s">
        <v>239</v>
      </c>
      <c r="AL19" s="440" t="s">
        <v>425</v>
      </c>
      <c r="AM19" s="128">
        <f t="shared" si="8"/>
        <v>0</v>
      </c>
      <c r="AS19" s="25"/>
      <c r="AU19" s="752">
        <f t="shared" si="2"/>
        <v>0</v>
      </c>
      <c r="AV19" s="207" t="str">
        <f t="shared" si="9"/>
        <v>OK</v>
      </c>
    </row>
    <row r="20" spans="1:48" ht="40.5" customHeight="1">
      <c r="A20" s="66">
        <v>13</v>
      </c>
      <c r="B20" s="89"/>
      <c r="C20" s="93" t="s">
        <v>471</v>
      </c>
      <c r="D20" s="50" t="s">
        <v>471</v>
      </c>
      <c r="E20" s="50" t="s">
        <v>564</v>
      </c>
      <c r="F20" s="445">
        <v>6875</v>
      </c>
      <c r="G20" s="414">
        <v>5052</v>
      </c>
      <c r="H20" s="414"/>
      <c r="I20" s="414"/>
      <c r="J20" s="414">
        <v>1823</v>
      </c>
      <c r="K20" s="445">
        <v>9839</v>
      </c>
      <c r="L20" s="445"/>
      <c r="M20" s="445"/>
      <c r="N20" s="445"/>
      <c r="O20" s="445"/>
      <c r="P20" s="445">
        <v>2500</v>
      </c>
      <c r="Q20" s="446">
        <v>1850</v>
      </c>
      <c r="R20" s="447"/>
      <c r="S20" s="447"/>
      <c r="T20" s="450">
        <v>650</v>
      </c>
      <c r="U20" s="756">
        <f t="shared" si="7"/>
        <v>0</v>
      </c>
      <c r="V20" s="142" t="s">
        <v>359</v>
      </c>
      <c r="W20" s="445">
        <v>2500</v>
      </c>
      <c r="X20" s="413">
        <v>4668</v>
      </c>
      <c r="Y20" s="414"/>
      <c r="Z20" s="414"/>
      <c r="AA20" s="414"/>
      <c r="AB20" s="414"/>
      <c r="AC20" s="414"/>
      <c r="AD20" s="445">
        <v>2500</v>
      </c>
      <c r="AE20" s="446"/>
      <c r="AF20" s="447"/>
      <c r="AG20" s="447"/>
      <c r="AH20" s="450">
        <v>2500</v>
      </c>
      <c r="AI20" s="449"/>
      <c r="AJ20" s="448"/>
      <c r="AK20" s="142" t="s">
        <v>760</v>
      </c>
      <c r="AL20" s="440" t="s">
        <v>425</v>
      </c>
      <c r="AM20" s="128">
        <f t="shared" si="8"/>
        <v>0</v>
      </c>
      <c r="AS20" s="25"/>
      <c r="AU20" s="752">
        <f t="shared" si="2"/>
        <v>0</v>
      </c>
      <c r="AV20" s="207" t="str">
        <f t="shared" si="9"/>
        <v>OK</v>
      </c>
    </row>
    <row r="21" spans="1:48" ht="51" customHeight="1">
      <c r="A21" s="66">
        <v>14</v>
      </c>
      <c r="B21" s="89"/>
      <c r="C21" s="90" t="s">
        <v>463</v>
      </c>
      <c r="D21" s="50" t="s">
        <v>696</v>
      </c>
      <c r="E21" s="50" t="s">
        <v>300</v>
      </c>
      <c r="F21" s="445" t="s">
        <v>442</v>
      </c>
      <c r="G21" s="414"/>
      <c r="H21" s="414"/>
      <c r="I21" s="414"/>
      <c r="J21" s="414"/>
      <c r="K21" s="445" t="s">
        <v>442</v>
      </c>
      <c r="L21" s="445"/>
      <c r="M21" s="445"/>
      <c r="N21" s="445"/>
      <c r="O21" s="445"/>
      <c r="P21" s="445">
        <v>451145</v>
      </c>
      <c r="Q21" s="446"/>
      <c r="R21" s="447"/>
      <c r="S21" s="447"/>
      <c r="T21" s="450">
        <v>451145</v>
      </c>
      <c r="U21" s="756">
        <f t="shared" si="7"/>
        <v>0</v>
      </c>
      <c r="V21" s="142"/>
      <c r="W21" s="445">
        <v>604826</v>
      </c>
      <c r="X21" s="413" t="s">
        <v>442</v>
      </c>
      <c r="Y21" s="414"/>
      <c r="Z21" s="414"/>
      <c r="AA21" s="414"/>
      <c r="AB21" s="414"/>
      <c r="AC21" s="414"/>
      <c r="AD21" s="445">
        <v>843186</v>
      </c>
      <c r="AE21" s="446"/>
      <c r="AF21" s="447"/>
      <c r="AG21" s="447"/>
      <c r="AH21" s="450">
        <v>604826</v>
      </c>
      <c r="AI21" s="449"/>
      <c r="AJ21" s="448"/>
      <c r="AK21" s="142"/>
      <c r="AL21" s="440" t="s">
        <v>425</v>
      </c>
      <c r="AM21" s="128">
        <f t="shared" si="8"/>
        <v>0</v>
      </c>
      <c r="AS21" s="25"/>
      <c r="AU21" s="752">
        <f t="shared" si="2"/>
        <v>0</v>
      </c>
      <c r="AV21" s="207" t="str">
        <f t="shared" si="9"/>
        <v>OK</v>
      </c>
    </row>
    <row r="22" spans="1:48" ht="62.25" customHeight="1">
      <c r="A22" s="66">
        <v>15</v>
      </c>
      <c r="B22" s="89"/>
      <c r="C22" s="90" t="s">
        <v>680</v>
      </c>
      <c r="D22" s="56" t="s">
        <v>479</v>
      </c>
      <c r="E22" s="56" t="s">
        <v>480</v>
      </c>
      <c r="F22" s="760">
        <v>681062</v>
      </c>
      <c r="G22" s="418">
        <v>340481</v>
      </c>
      <c r="H22" s="418"/>
      <c r="I22" s="418"/>
      <c r="J22" s="418">
        <v>340581</v>
      </c>
      <c r="K22" s="760">
        <v>809876</v>
      </c>
      <c r="L22" s="760"/>
      <c r="M22" s="760"/>
      <c r="N22" s="760"/>
      <c r="O22" s="760"/>
      <c r="P22" s="760">
        <v>50000</v>
      </c>
      <c r="Q22" s="475">
        <v>25000</v>
      </c>
      <c r="R22" s="459"/>
      <c r="S22" s="459"/>
      <c r="T22" s="460">
        <v>25000</v>
      </c>
      <c r="U22" s="756">
        <f t="shared" si="7"/>
        <v>0</v>
      </c>
      <c r="V22" s="143" t="s">
        <v>659</v>
      </c>
      <c r="W22" s="760">
        <v>50000</v>
      </c>
      <c r="X22" s="417">
        <v>628533</v>
      </c>
      <c r="Y22" s="418"/>
      <c r="Z22" s="418"/>
      <c r="AA22" s="418"/>
      <c r="AB22" s="418"/>
      <c r="AC22" s="418"/>
      <c r="AD22" s="760">
        <v>50000</v>
      </c>
      <c r="AE22" s="475"/>
      <c r="AF22" s="459"/>
      <c r="AG22" s="459"/>
      <c r="AH22" s="460">
        <v>50000</v>
      </c>
      <c r="AI22" s="451"/>
      <c r="AJ22" s="461"/>
      <c r="AK22" s="143" t="s">
        <v>659</v>
      </c>
      <c r="AL22" s="440" t="s">
        <v>425</v>
      </c>
      <c r="AM22" s="128">
        <f t="shared" si="8"/>
        <v>0</v>
      </c>
      <c r="AO22" s="25"/>
      <c r="AU22" s="752">
        <f t="shared" si="2"/>
        <v>0</v>
      </c>
      <c r="AV22" s="207" t="str">
        <f t="shared" si="9"/>
        <v>OK</v>
      </c>
    </row>
    <row r="23" spans="1:48" ht="54.75" customHeight="1">
      <c r="A23" s="66">
        <v>16</v>
      </c>
      <c r="B23" s="89"/>
      <c r="C23" s="499"/>
      <c r="D23" s="38" t="s">
        <v>22</v>
      </c>
      <c r="E23" s="38" t="s">
        <v>426</v>
      </c>
      <c r="F23" s="452">
        <v>3356098</v>
      </c>
      <c r="G23" s="416"/>
      <c r="H23" s="416">
        <v>203080</v>
      </c>
      <c r="I23" s="416"/>
      <c r="J23" s="416">
        <v>3153018</v>
      </c>
      <c r="K23" s="452">
        <v>3369809</v>
      </c>
      <c r="L23" s="452"/>
      <c r="M23" s="452"/>
      <c r="N23" s="452"/>
      <c r="O23" s="452"/>
      <c r="P23" s="452">
        <v>5574000</v>
      </c>
      <c r="Q23" s="453"/>
      <c r="R23" s="454"/>
      <c r="S23" s="454"/>
      <c r="T23" s="455">
        <v>5574000</v>
      </c>
      <c r="U23" s="756">
        <f t="shared" si="7"/>
        <v>0</v>
      </c>
      <c r="V23" s="129" t="s">
        <v>496</v>
      </c>
      <c r="W23" s="452">
        <v>5715000</v>
      </c>
      <c r="X23" s="415">
        <v>3144492</v>
      </c>
      <c r="Y23" s="416"/>
      <c r="Z23" s="416"/>
      <c r="AA23" s="416"/>
      <c r="AB23" s="416"/>
      <c r="AC23" s="416"/>
      <c r="AD23" s="452">
        <v>6337000</v>
      </c>
      <c r="AE23" s="453"/>
      <c r="AF23" s="454"/>
      <c r="AG23" s="454"/>
      <c r="AH23" s="455">
        <v>5715000</v>
      </c>
      <c r="AI23" s="456"/>
      <c r="AJ23" s="457"/>
      <c r="AK23" s="129" t="s">
        <v>496</v>
      </c>
      <c r="AL23" s="440" t="s">
        <v>425</v>
      </c>
      <c r="AM23" s="128">
        <f t="shared" si="8"/>
        <v>0</v>
      </c>
      <c r="AO23" s="25"/>
      <c r="AU23" s="752">
        <f t="shared" si="2"/>
        <v>0</v>
      </c>
      <c r="AV23" s="207" t="str">
        <f t="shared" si="9"/>
        <v>OK</v>
      </c>
    </row>
    <row r="24" spans="1:48" ht="54.75" customHeight="1" thickBot="1">
      <c r="A24" s="66">
        <v>17</v>
      </c>
      <c r="B24" s="89"/>
      <c r="C24" s="91" t="s">
        <v>697</v>
      </c>
      <c r="D24" s="38" t="s">
        <v>825</v>
      </c>
      <c r="E24" s="38"/>
      <c r="F24" s="452">
        <v>1021466</v>
      </c>
      <c r="G24" s="416"/>
      <c r="H24" s="416"/>
      <c r="I24" s="416"/>
      <c r="J24" s="416">
        <v>1021466</v>
      </c>
      <c r="K24" s="452">
        <v>943961</v>
      </c>
      <c r="L24" s="452"/>
      <c r="M24" s="452"/>
      <c r="N24" s="452"/>
      <c r="O24" s="452"/>
      <c r="P24" s="452">
        <v>574000</v>
      </c>
      <c r="Q24" s="456"/>
      <c r="R24" s="454"/>
      <c r="S24" s="454"/>
      <c r="T24" s="455">
        <v>574000</v>
      </c>
      <c r="U24" s="756">
        <f t="shared" si="7"/>
        <v>0</v>
      </c>
      <c r="V24" s="129" t="s">
        <v>554</v>
      </c>
      <c r="W24" s="452">
        <v>33000</v>
      </c>
      <c r="X24" s="415">
        <v>1014386</v>
      </c>
      <c r="Y24" s="416"/>
      <c r="Z24" s="416"/>
      <c r="AA24" s="416"/>
      <c r="AB24" s="416"/>
      <c r="AC24" s="416"/>
      <c r="AD24" s="452">
        <v>34000</v>
      </c>
      <c r="AE24" s="456"/>
      <c r="AF24" s="454"/>
      <c r="AG24" s="454"/>
      <c r="AH24" s="455">
        <v>33000</v>
      </c>
      <c r="AI24" s="456"/>
      <c r="AJ24" s="457"/>
      <c r="AK24" s="129" t="s">
        <v>826</v>
      </c>
      <c r="AL24" s="440" t="s">
        <v>425</v>
      </c>
      <c r="AM24" s="128">
        <f t="shared" si="8"/>
        <v>0</v>
      </c>
      <c r="AO24" s="25"/>
      <c r="AU24" s="752">
        <f t="shared" si="2"/>
        <v>0</v>
      </c>
      <c r="AV24" s="207" t="str">
        <f t="shared" si="9"/>
        <v>OK</v>
      </c>
    </row>
    <row r="25" spans="2:48" ht="31.5" customHeight="1" thickBot="1">
      <c r="B25" s="95"/>
      <c r="C25" s="96"/>
      <c r="D25" s="57"/>
      <c r="E25" s="57" t="s">
        <v>403</v>
      </c>
      <c r="F25" s="467">
        <f aca="true" t="shared" si="10" ref="F25:K25">SUM(F11:F24)</f>
        <v>14143666</v>
      </c>
      <c r="G25" s="373">
        <f t="shared" si="10"/>
        <v>368349</v>
      </c>
      <c r="H25" s="373">
        <f t="shared" si="10"/>
        <v>203080</v>
      </c>
      <c r="I25" s="373">
        <f t="shared" si="10"/>
        <v>0</v>
      </c>
      <c r="J25" s="373">
        <f t="shared" si="10"/>
        <v>11702444</v>
      </c>
      <c r="K25" s="467">
        <f t="shared" si="10"/>
        <v>14036164</v>
      </c>
      <c r="L25" s="467"/>
      <c r="M25" s="467"/>
      <c r="N25" s="467"/>
      <c r="O25" s="467"/>
      <c r="P25" s="467">
        <f>SUM(P11:P24)</f>
        <v>8890657</v>
      </c>
      <c r="Q25" s="466">
        <f>SUM(Q11:Q24)</f>
        <v>26850</v>
      </c>
      <c r="R25" s="464">
        <f>SUM(R11:R24)</f>
        <v>0</v>
      </c>
      <c r="S25" s="464">
        <f>SUM(S11:S24)</f>
        <v>0</v>
      </c>
      <c r="T25" s="465">
        <f>SUM(T11:T24)</f>
        <v>8863807</v>
      </c>
      <c r="U25" s="756">
        <f t="shared" si="7"/>
        <v>0</v>
      </c>
      <c r="V25" s="144"/>
      <c r="W25" s="467">
        <f aca="true" t="shared" si="11" ref="W25:AB25">SUM(W11:W24)</f>
        <v>8232531</v>
      </c>
      <c r="X25" s="759">
        <f t="shared" si="11"/>
        <v>13597630</v>
      </c>
      <c r="Y25" s="373">
        <f t="shared" si="11"/>
        <v>0</v>
      </c>
      <c r="Z25" s="373">
        <f t="shared" si="11"/>
        <v>0</v>
      </c>
      <c r="AA25" s="373">
        <f t="shared" si="11"/>
        <v>0</v>
      </c>
      <c r="AB25" s="373">
        <f t="shared" si="11"/>
        <v>0</v>
      </c>
      <c r="AC25" s="373"/>
      <c r="AD25" s="467">
        <f>SUM(AD11:AD24)</f>
        <v>10122008</v>
      </c>
      <c r="AE25" s="466">
        <f>SUM(AE11:AE24)</f>
        <v>0</v>
      </c>
      <c r="AF25" s="464">
        <f>SUM(AF11:AF24)</f>
        <v>0</v>
      </c>
      <c r="AG25" s="464">
        <f>SUM(AG11:AG24)</f>
        <v>0</v>
      </c>
      <c r="AH25" s="465">
        <f>SUM(AH11:AH24)</f>
        <v>8232531</v>
      </c>
      <c r="AI25" s="466"/>
      <c r="AJ25" s="465"/>
      <c r="AK25" s="144"/>
      <c r="AL25" s="440"/>
      <c r="AM25" s="128">
        <f t="shared" si="8"/>
        <v>0</v>
      </c>
      <c r="AO25" s="59">
        <f aca="true" t="shared" si="12" ref="AO25:AT25">SUM(AO11:AO23)</f>
        <v>0</v>
      </c>
      <c r="AP25" s="59">
        <f t="shared" si="12"/>
        <v>0</v>
      </c>
      <c r="AQ25" s="59">
        <f t="shared" si="12"/>
        <v>0</v>
      </c>
      <c r="AR25" s="59">
        <f t="shared" si="12"/>
        <v>0</v>
      </c>
      <c r="AS25" s="59">
        <f t="shared" si="12"/>
        <v>0</v>
      </c>
      <c r="AT25" s="59">
        <f t="shared" si="12"/>
        <v>0</v>
      </c>
      <c r="AU25" s="752">
        <f t="shared" si="2"/>
        <v>0</v>
      </c>
      <c r="AV25" s="207" t="str">
        <f t="shared" si="9"/>
        <v>OK</v>
      </c>
    </row>
    <row r="26" spans="1:49" ht="106.5" customHeight="1">
      <c r="A26" s="66">
        <v>18</v>
      </c>
      <c r="B26" s="89" t="s">
        <v>306</v>
      </c>
      <c r="C26" s="90" t="s">
        <v>675</v>
      </c>
      <c r="D26" s="50" t="s">
        <v>537</v>
      </c>
      <c r="E26" s="50" t="s">
        <v>538</v>
      </c>
      <c r="F26" s="445" t="s">
        <v>442</v>
      </c>
      <c r="G26" s="414"/>
      <c r="H26" s="414"/>
      <c r="I26" s="414"/>
      <c r="J26" s="414"/>
      <c r="K26" s="445" t="s">
        <v>442</v>
      </c>
      <c r="L26" s="445"/>
      <c r="M26" s="445"/>
      <c r="N26" s="445"/>
      <c r="O26" s="445"/>
      <c r="P26" s="445">
        <v>146664</v>
      </c>
      <c r="Q26" s="446"/>
      <c r="R26" s="454">
        <v>146664</v>
      </c>
      <c r="S26" s="454"/>
      <c r="T26" s="450"/>
      <c r="U26" s="756">
        <f t="shared" si="7"/>
        <v>0</v>
      </c>
      <c r="V26" s="142" t="s">
        <v>539</v>
      </c>
      <c r="W26" s="445">
        <v>95911</v>
      </c>
      <c r="X26" s="413" t="s">
        <v>442</v>
      </c>
      <c r="Y26" s="414"/>
      <c r="Z26" s="414"/>
      <c r="AA26" s="414"/>
      <c r="AB26" s="414"/>
      <c r="AC26" s="414"/>
      <c r="AD26" s="445">
        <v>418117</v>
      </c>
      <c r="AE26" s="446"/>
      <c r="AF26" s="454">
        <v>95911</v>
      </c>
      <c r="AG26" s="454"/>
      <c r="AH26" s="450"/>
      <c r="AI26" s="449"/>
      <c r="AJ26" s="448"/>
      <c r="AK26" s="142" t="s">
        <v>539</v>
      </c>
      <c r="AL26" s="440" t="s">
        <v>425</v>
      </c>
      <c r="AM26" s="128">
        <f t="shared" si="8"/>
        <v>0</v>
      </c>
      <c r="AS26" s="27"/>
      <c r="AT26" s="48">
        <v>146664</v>
      </c>
      <c r="AU26" s="752">
        <f t="shared" si="2"/>
        <v>146664</v>
      </c>
      <c r="AV26" s="207" t="str">
        <f t="shared" si="9"/>
        <v>OK</v>
      </c>
      <c r="AW26" s="48">
        <v>146664</v>
      </c>
    </row>
    <row r="27" spans="1:48" ht="54" customHeight="1">
      <c r="A27" s="66">
        <v>19</v>
      </c>
      <c r="B27" s="89"/>
      <c r="C27" s="91"/>
      <c r="D27" s="50" t="s">
        <v>504</v>
      </c>
      <c r="E27" s="50" t="s">
        <v>829</v>
      </c>
      <c r="F27" s="445">
        <v>4758</v>
      </c>
      <c r="G27" s="414"/>
      <c r="H27" s="414"/>
      <c r="I27" s="414"/>
      <c r="J27" s="414">
        <v>4758</v>
      </c>
      <c r="K27" s="445">
        <v>3577</v>
      </c>
      <c r="L27" s="445"/>
      <c r="M27" s="445"/>
      <c r="N27" s="445"/>
      <c r="O27" s="445"/>
      <c r="P27" s="445">
        <v>10000</v>
      </c>
      <c r="Q27" s="446"/>
      <c r="R27" s="447"/>
      <c r="S27" s="447"/>
      <c r="T27" s="450">
        <v>10000</v>
      </c>
      <c r="U27" s="756">
        <f t="shared" si="7"/>
        <v>0</v>
      </c>
      <c r="V27" s="142" t="s">
        <v>242</v>
      </c>
      <c r="W27" s="445">
        <v>10000</v>
      </c>
      <c r="X27" s="413">
        <v>5059</v>
      </c>
      <c r="Y27" s="414"/>
      <c r="Z27" s="414"/>
      <c r="AA27" s="414"/>
      <c r="AB27" s="414"/>
      <c r="AC27" s="414"/>
      <c r="AD27" s="445">
        <v>10000</v>
      </c>
      <c r="AE27" s="446"/>
      <c r="AF27" s="447"/>
      <c r="AG27" s="447"/>
      <c r="AH27" s="450">
        <v>10000</v>
      </c>
      <c r="AI27" s="449"/>
      <c r="AJ27" s="448"/>
      <c r="AK27" s="142" t="s">
        <v>242</v>
      </c>
      <c r="AL27" s="440" t="s">
        <v>425</v>
      </c>
      <c r="AM27" s="128">
        <f t="shared" si="8"/>
        <v>0</v>
      </c>
      <c r="AU27" s="752">
        <f t="shared" si="2"/>
        <v>0</v>
      </c>
      <c r="AV27" s="207" t="str">
        <f t="shared" si="9"/>
        <v>OK</v>
      </c>
    </row>
    <row r="28" spans="1:48" ht="58.5" customHeight="1">
      <c r="A28" s="66">
        <v>20</v>
      </c>
      <c r="B28" s="89"/>
      <c r="C28" s="90" t="s">
        <v>183</v>
      </c>
      <c r="D28" s="50" t="s">
        <v>184</v>
      </c>
      <c r="E28" s="50"/>
      <c r="F28" s="445">
        <v>3573794</v>
      </c>
      <c r="G28" s="414"/>
      <c r="H28" s="414"/>
      <c r="I28" s="414"/>
      <c r="J28" s="414">
        <v>3573794</v>
      </c>
      <c r="K28" s="445">
        <v>3426020</v>
      </c>
      <c r="L28" s="445"/>
      <c r="M28" s="445"/>
      <c r="N28" s="445"/>
      <c r="O28" s="445"/>
      <c r="P28" s="445">
        <v>222775</v>
      </c>
      <c r="Q28" s="446"/>
      <c r="R28" s="447"/>
      <c r="S28" s="447"/>
      <c r="T28" s="450">
        <v>222775</v>
      </c>
      <c r="U28" s="756">
        <f t="shared" si="7"/>
        <v>0</v>
      </c>
      <c r="V28" s="142" t="s">
        <v>556</v>
      </c>
      <c r="W28" s="445">
        <v>75001</v>
      </c>
      <c r="X28" s="413"/>
      <c r="Y28" s="414"/>
      <c r="Z28" s="414"/>
      <c r="AA28" s="414"/>
      <c r="AB28" s="414"/>
      <c r="AC28" s="414"/>
      <c r="AD28" s="445"/>
      <c r="AE28" s="446"/>
      <c r="AF28" s="447"/>
      <c r="AG28" s="447"/>
      <c r="AH28" s="450">
        <v>75001</v>
      </c>
      <c r="AI28" s="449"/>
      <c r="AJ28" s="448"/>
      <c r="AK28" s="142" t="s">
        <v>185</v>
      </c>
      <c r="AL28" s="440" t="s">
        <v>425</v>
      </c>
      <c r="AM28" s="128">
        <f t="shared" si="8"/>
        <v>0</v>
      </c>
      <c r="AU28" s="752"/>
      <c r="AV28" s="207" t="str">
        <f t="shared" si="9"/>
        <v>OK</v>
      </c>
    </row>
    <row r="29" spans="1:48" ht="42.75" customHeight="1">
      <c r="A29" s="66">
        <v>21</v>
      </c>
      <c r="B29" s="89"/>
      <c r="C29" s="90" t="s">
        <v>419</v>
      </c>
      <c r="D29" s="50" t="s">
        <v>794</v>
      </c>
      <c r="E29" s="50" t="s">
        <v>90</v>
      </c>
      <c r="F29" s="445">
        <v>68538</v>
      </c>
      <c r="G29" s="414"/>
      <c r="H29" s="414">
        <v>22404</v>
      </c>
      <c r="I29" s="414"/>
      <c r="J29" s="414">
        <v>46134</v>
      </c>
      <c r="K29" s="445">
        <v>45715</v>
      </c>
      <c r="L29" s="445"/>
      <c r="M29" s="445"/>
      <c r="N29" s="445"/>
      <c r="O29" s="445"/>
      <c r="P29" s="445">
        <v>22858</v>
      </c>
      <c r="Q29" s="446"/>
      <c r="R29" s="447"/>
      <c r="S29" s="447"/>
      <c r="T29" s="450">
        <v>22858</v>
      </c>
      <c r="U29" s="756">
        <f t="shared" si="7"/>
        <v>0</v>
      </c>
      <c r="V29" s="142" t="s">
        <v>360</v>
      </c>
      <c r="W29" s="445">
        <v>22730</v>
      </c>
      <c r="X29" s="413">
        <v>45460</v>
      </c>
      <c r="Y29" s="414"/>
      <c r="Z29" s="414"/>
      <c r="AA29" s="414"/>
      <c r="AB29" s="414"/>
      <c r="AC29" s="414"/>
      <c r="AD29" s="445">
        <v>22730</v>
      </c>
      <c r="AE29" s="446"/>
      <c r="AF29" s="447"/>
      <c r="AG29" s="447"/>
      <c r="AH29" s="450">
        <v>22730</v>
      </c>
      <c r="AI29" s="449"/>
      <c r="AJ29" s="448"/>
      <c r="AK29" s="142" t="s">
        <v>830</v>
      </c>
      <c r="AL29" s="440" t="s">
        <v>425</v>
      </c>
      <c r="AM29" s="128">
        <f t="shared" si="8"/>
        <v>0</v>
      </c>
      <c r="AS29" s="62"/>
      <c r="AU29" s="752">
        <f>SUM(AO29:AT29)</f>
        <v>0</v>
      </c>
      <c r="AV29" s="207" t="str">
        <f t="shared" si="9"/>
        <v>OK</v>
      </c>
    </row>
    <row r="30" spans="1:48" ht="38.25" customHeight="1">
      <c r="A30" s="66">
        <v>22</v>
      </c>
      <c r="B30" s="89"/>
      <c r="C30" s="91"/>
      <c r="D30" s="51" t="s">
        <v>420</v>
      </c>
      <c r="E30" s="50" t="s">
        <v>505</v>
      </c>
      <c r="F30" s="445" t="s">
        <v>442</v>
      </c>
      <c r="G30" s="414"/>
      <c r="H30" s="414"/>
      <c r="I30" s="414"/>
      <c r="J30" s="414"/>
      <c r="K30" s="445" t="s">
        <v>442</v>
      </c>
      <c r="L30" s="445"/>
      <c r="M30" s="445"/>
      <c r="N30" s="445"/>
      <c r="O30" s="445"/>
      <c r="P30" s="445">
        <v>50000</v>
      </c>
      <c r="Q30" s="446"/>
      <c r="R30" s="447"/>
      <c r="S30" s="447"/>
      <c r="T30" s="450">
        <v>50000</v>
      </c>
      <c r="U30" s="756">
        <f t="shared" si="7"/>
        <v>0</v>
      </c>
      <c r="V30" s="142" t="s">
        <v>255</v>
      </c>
      <c r="W30" s="445">
        <v>50000</v>
      </c>
      <c r="X30" s="413" t="s">
        <v>442</v>
      </c>
      <c r="Y30" s="414"/>
      <c r="Z30" s="414"/>
      <c r="AA30" s="414"/>
      <c r="AB30" s="414"/>
      <c r="AC30" s="414"/>
      <c r="AD30" s="445">
        <v>50000</v>
      </c>
      <c r="AE30" s="446"/>
      <c r="AF30" s="447"/>
      <c r="AG30" s="447"/>
      <c r="AH30" s="450">
        <v>50000</v>
      </c>
      <c r="AI30" s="449"/>
      <c r="AJ30" s="448"/>
      <c r="AK30" s="142" t="s">
        <v>255</v>
      </c>
      <c r="AL30" s="440" t="s">
        <v>425</v>
      </c>
      <c r="AM30" s="128">
        <f t="shared" si="8"/>
        <v>0</v>
      </c>
      <c r="AO30" s="25"/>
      <c r="AU30" s="752">
        <f>SUM(AO30:AT30)</f>
        <v>0</v>
      </c>
      <c r="AV30" s="207" t="str">
        <f t="shared" si="9"/>
        <v>OK</v>
      </c>
    </row>
    <row r="31" spans="1:48" ht="38.25" customHeight="1">
      <c r="A31" s="66">
        <v>23</v>
      </c>
      <c r="B31" s="89"/>
      <c r="C31" s="499"/>
      <c r="D31" s="50"/>
      <c r="E31" s="38" t="s">
        <v>511</v>
      </c>
      <c r="F31" s="452">
        <v>727</v>
      </c>
      <c r="G31" s="416">
        <v>242</v>
      </c>
      <c r="H31" s="416"/>
      <c r="I31" s="416"/>
      <c r="J31" s="416">
        <v>485</v>
      </c>
      <c r="K31" s="452">
        <v>656</v>
      </c>
      <c r="L31" s="452"/>
      <c r="M31" s="452"/>
      <c r="N31" s="452"/>
      <c r="O31" s="452"/>
      <c r="P31" s="452">
        <v>9263</v>
      </c>
      <c r="Q31" s="453">
        <v>4631</v>
      </c>
      <c r="R31" s="453"/>
      <c r="S31" s="453"/>
      <c r="T31" s="455">
        <v>4632</v>
      </c>
      <c r="U31" s="756">
        <f t="shared" si="7"/>
        <v>0</v>
      </c>
      <c r="V31" s="129" t="s">
        <v>427</v>
      </c>
      <c r="W31" s="452">
        <v>9263</v>
      </c>
      <c r="X31" s="415">
        <v>774</v>
      </c>
      <c r="Y31" s="416"/>
      <c r="Z31" s="416"/>
      <c r="AA31" s="416"/>
      <c r="AB31" s="416"/>
      <c r="AC31" s="416"/>
      <c r="AD31" s="452">
        <v>9263</v>
      </c>
      <c r="AE31" s="453"/>
      <c r="AF31" s="453"/>
      <c r="AG31" s="453"/>
      <c r="AH31" s="455">
        <v>9263</v>
      </c>
      <c r="AI31" s="456"/>
      <c r="AJ31" s="457"/>
      <c r="AK31" s="129" t="s">
        <v>427</v>
      </c>
      <c r="AL31" s="440" t="s">
        <v>425</v>
      </c>
      <c r="AM31" s="128">
        <f t="shared" si="8"/>
        <v>0</v>
      </c>
      <c r="AO31" s="25"/>
      <c r="AU31" s="752">
        <f>SUM(AO31:AT31)</f>
        <v>0</v>
      </c>
      <c r="AV31" s="207" t="str">
        <f t="shared" si="9"/>
        <v>OK</v>
      </c>
    </row>
    <row r="32" spans="1:48" ht="38.25" customHeight="1" thickBot="1">
      <c r="A32" s="66">
        <v>24</v>
      </c>
      <c r="B32" s="89"/>
      <c r="C32" s="90" t="s">
        <v>186</v>
      </c>
      <c r="D32" s="56" t="s">
        <v>187</v>
      </c>
      <c r="E32" s="56" t="s">
        <v>188</v>
      </c>
      <c r="F32" s="760" t="s">
        <v>518</v>
      </c>
      <c r="G32" s="418"/>
      <c r="H32" s="418"/>
      <c r="I32" s="418"/>
      <c r="J32" s="418"/>
      <c r="K32" s="760" t="s">
        <v>518</v>
      </c>
      <c r="L32" s="760"/>
      <c r="M32" s="760"/>
      <c r="N32" s="760"/>
      <c r="O32" s="760"/>
      <c r="P32" s="760">
        <v>21552</v>
      </c>
      <c r="Q32" s="475"/>
      <c r="R32" s="475"/>
      <c r="S32" s="475"/>
      <c r="T32" s="460">
        <v>21552</v>
      </c>
      <c r="U32" s="756">
        <f t="shared" si="7"/>
        <v>0</v>
      </c>
      <c r="V32" s="143" t="s">
        <v>254</v>
      </c>
      <c r="W32" s="760">
        <v>21552</v>
      </c>
      <c r="X32" s="417"/>
      <c r="Y32" s="418"/>
      <c r="Z32" s="418"/>
      <c r="AA32" s="418"/>
      <c r="AB32" s="418"/>
      <c r="AC32" s="418"/>
      <c r="AD32" s="760"/>
      <c r="AE32" s="475"/>
      <c r="AF32" s="475"/>
      <c r="AG32" s="475"/>
      <c r="AH32" s="460">
        <v>21552</v>
      </c>
      <c r="AI32" s="451"/>
      <c r="AJ32" s="461"/>
      <c r="AK32" s="143" t="s">
        <v>254</v>
      </c>
      <c r="AL32" s="440" t="s">
        <v>425</v>
      </c>
      <c r="AM32" s="128">
        <f t="shared" si="8"/>
        <v>0</v>
      </c>
      <c r="AO32" s="25"/>
      <c r="AU32" s="752"/>
      <c r="AV32" s="207" t="str">
        <f t="shared" si="9"/>
        <v>OK</v>
      </c>
    </row>
    <row r="33" spans="2:48" ht="31.5" customHeight="1" thickBot="1">
      <c r="B33" s="95"/>
      <c r="C33" s="96"/>
      <c r="D33" s="57"/>
      <c r="E33" s="57" t="s">
        <v>403</v>
      </c>
      <c r="F33" s="467">
        <f>SUM(F26:F32)</f>
        <v>3647817</v>
      </c>
      <c r="G33" s="373"/>
      <c r="H33" s="373"/>
      <c r="I33" s="373"/>
      <c r="J33" s="373"/>
      <c r="K33" s="467">
        <f>SUM(K26:K32)</f>
        <v>3475968</v>
      </c>
      <c r="L33" s="467"/>
      <c r="M33" s="467"/>
      <c r="N33" s="467"/>
      <c r="O33" s="467"/>
      <c r="P33" s="467">
        <f>SUM(P26:P32)</f>
        <v>483112</v>
      </c>
      <c r="Q33" s="468">
        <f>SUM(Q26:Q31)</f>
        <v>4631</v>
      </c>
      <c r="R33" s="468">
        <f>SUM(R26:R31)</f>
        <v>146664</v>
      </c>
      <c r="S33" s="468">
        <f>SUM(S26:S31)</f>
        <v>0</v>
      </c>
      <c r="T33" s="465">
        <f>SUM(T26:T32)</f>
        <v>331817</v>
      </c>
      <c r="U33" s="756">
        <f t="shared" si="7"/>
        <v>0</v>
      </c>
      <c r="V33" s="144"/>
      <c r="W33" s="467">
        <f>SUM(W26:W32)</f>
        <v>284457</v>
      </c>
      <c r="X33" s="759">
        <f>SUM(X26:X32)</f>
        <v>51293</v>
      </c>
      <c r="Y33" s="373"/>
      <c r="Z33" s="373"/>
      <c r="AA33" s="373"/>
      <c r="AB33" s="373"/>
      <c r="AC33" s="373"/>
      <c r="AD33" s="467">
        <f>SUM(AD26:AD31)</f>
        <v>510110</v>
      </c>
      <c r="AE33" s="468">
        <f>SUM(AE26:AE31)</f>
        <v>0</v>
      </c>
      <c r="AF33" s="468">
        <f>SUM(AF26:AF31)</f>
        <v>95911</v>
      </c>
      <c r="AG33" s="468">
        <f>SUM(AG26:AG31)</f>
        <v>0</v>
      </c>
      <c r="AH33" s="465">
        <f>SUM(AH26:AH32)</f>
        <v>188546</v>
      </c>
      <c r="AI33" s="466"/>
      <c r="AJ33" s="465"/>
      <c r="AK33" s="144"/>
      <c r="AL33" s="440"/>
      <c r="AM33" s="128">
        <f t="shared" si="8"/>
        <v>0</v>
      </c>
      <c r="AO33" s="59">
        <f aca="true" t="shared" si="13" ref="AO33:AT33">SUM(AO26:AO31)</f>
        <v>0</v>
      </c>
      <c r="AP33" s="59">
        <f t="shared" si="13"/>
        <v>0</v>
      </c>
      <c r="AQ33" s="59">
        <f t="shared" si="13"/>
        <v>0</v>
      </c>
      <c r="AR33" s="59">
        <f t="shared" si="13"/>
        <v>0</v>
      </c>
      <c r="AS33" s="59">
        <f t="shared" si="13"/>
        <v>0</v>
      </c>
      <c r="AT33" s="59">
        <f t="shared" si="13"/>
        <v>146664</v>
      </c>
      <c r="AU33" s="752">
        <f>SUM(AO33:AT33)</f>
        <v>146664</v>
      </c>
      <c r="AV33" s="207" t="str">
        <f t="shared" si="9"/>
        <v>OK</v>
      </c>
    </row>
    <row r="34" spans="1:48" ht="50.25" customHeight="1" thickBot="1">
      <c r="A34" s="66">
        <v>25</v>
      </c>
      <c r="B34" s="151" t="s">
        <v>196</v>
      </c>
      <c r="C34" s="91" t="s">
        <v>307</v>
      </c>
      <c r="D34" s="57" t="s">
        <v>308</v>
      </c>
      <c r="E34" s="50" t="s">
        <v>91</v>
      </c>
      <c r="F34" s="445" t="s">
        <v>442</v>
      </c>
      <c r="G34" s="414"/>
      <c r="H34" s="414"/>
      <c r="I34" s="414"/>
      <c r="J34" s="414"/>
      <c r="K34" s="445" t="s">
        <v>442</v>
      </c>
      <c r="L34" s="445"/>
      <c r="M34" s="445"/>
      <c r="N34" s="445"/>
      <c r="O34" s="445"/>
      <c r="P34" s="445">
        <v>2000</v>
      </c>
      <c r="Q34" s="446"/>
      <c r="R34" s="447"/>
      <c r="S34" s="447"/>
      <c r="T34" s="450">
        <v>2000</v>
      </c>
      <c r="U34" s="756">
        <f t="shared" si="7"/>
        <v>0</v>
      </c>
      <c r="V34" s="142" t="s">
        <v>92</v>
      </c>
      <c r="W34" s="445">
        <v>2000</v>
      </c>
      <c r="X34" s="413" t="s">
        <v>442</v>
      </c>
      <c r="Y34" s="414"/>
      <c r="Z34" s="414"/>
      <c r="AA34" s="414"/>
      <c r="AB34" s="414"/>
      <c r="AC34" s="414"/>
      <c r="AD34" s="445">
        <v>2000</v>
      </c>
      <c r="AE34" s="446"/>
      <c r="AF34" s="447"/>
      <c r="AG34" s="447"/>
      <c r="AH34" s="450">
        <v>2000</v>
      </c>
      <c r="AI34" s="449"/>
      <c r="AJ34" s="448"/>
      <c r="AK34" s="142" t="s">
        <v>92</v>
      </c>
      <c r="AL34" s="440" t="s">
        <v>425</v>
      </c>
      <c r="AM34" s="128">
        <f t="shared" si="8"/>
        <v>0</v>
      </c>
      <c r="AS34" s="25"/>
      <c r="AT34" s="25"/>
      <c r="AU34" s="752">
        <f>SUM(AO34:AT34)</f>
        <v>0</v>
      </c>
      <c r="AV34" s="207" t="str">
        <f t="shared" si="9"/>
        <v>OK</v>
      </c>
    </row>
    <row r="35" spans="2:48" ht="31.5" customHeight="1" thickBot="1">
      <c r="B35" s="100"/>
      <c r="C35" s="96"/>
      <c r="D35" s="63"/>
      <c r="E35" s="57" t="s">
        <v>403</v>
      </c>
      <c r="F35" s="467">
        <f aca="true" t="shared" si="14" ref="F35:K35">SUM(F34:F34)</f>
        <v>0</v>
      </c>
      <c r="G35" s="373">
        <f t="shared" si="14"/>
        <v>0</v>
      </c>
      <c r="H35" s="373">
        <f t="shared" si="14"/>
        <v>0</v>
      </c>
      <c r="I35" s="373">
        <f t="shared" si="14"/>
        <v>0</v>
      </c>
      <c r="J35" s="373">
        <f t="shared" si="14"/>
        <v>0</v>
      </c>
      <c r="K35" s="467">
        <f t="shared" si="14"/>
        <v>0</v>
      </c>
      <c r="L35" s="467"/>
      <c r="M35" s="467"/>
      <c r="N35" s="467"/>
      <c r="O35" s="467"/>
      <c r="P35" s="467">
        <f>SUM(P34:P34)</f>
        <v>2000</v>
      </c>
      <c r="Q35" s="468">
        <f>SUM(Q34:Q34)</f>
        <v>0</v>
      </c>
      <c r="R35" s="464">
        <f>SUM(R34:R34)</f>
        <v>0</v>
      </c>
      <c r="S35" s="464">
        <f>SUM(S34:S34)</f>
        <v>0</v>
      </c>
      <c r="T35" s="465">
        <f>SUM(T34:T34)</f>
        <v>2000</v>
      </c>
      <c r="U35" s="756">
        <f t="shared" si="7"/>
        <v>0</v>
      </c>
      <c r="V35" s="144"/>
      <c r="W35" s="467">
        <f aca="true" t="shared" si="15" ref="W35:AH35">SUM(W34:W34)</f>
        <v>2000</v>
      </c>
      <c r="X35" s="422">
        <f t="shared" si="15"/>
        <v>0</v>
      </c>
      <c r="Y35" s="373">
        <f t="shared" si="15"/>
        <v>0</v>
      </c>
      <c r="Z35" s="373">
        <f t="shared" si="15"/>
        <v>0</v>
      </c>
      <c r="AA35" s="373">
        <f t="shared" si="15"/>
        <v>0</v>
      </c>
      <c r="AB35" s="373">
        <f t="shared" si="15"/>
        <v>0</v>
      </c>
      <c r="AC35" s="373">
        <f t="shared" si="15"/>
        <v>0</v>
      </c>
      <c r="AD35" s="467">
        <f t="shared" si="15"/>
        <v>2000</v>
      </c>
      <c r="AE35" s="468">
        <f t="shared" si="15"/>
        <v>0</v>
      </c>
      <c r="AF35" s="464">
        <f t="shared" si="15"/>
        <v>0</v>
      </c>
      <c r="AG35" s="464">
        <f t="shared" si="15"/>
        <v>0</v>
      </c>
      <c r="AH35" s="465">
        <f t="shared" si="15"/>
        <v>2000</v>
      </c>
      <c r="AI35" s="466"/>
      <c r="AJ35" s="465"/>
      <c r="AK35" s="144"/>
      <c r="AL35" s="440"/>
      <c r="AM35" s="128">
        <f t="shared" si="8"/>
        <v>0</v>
      </c>
      <c r="AO35" s="128">
        <f aca="true" t="shared" si="16" ref="AO35:AT35">SUM(AO34:AO34)</f>
        <v>0</v>
      </c>
      <c r="AP35" s="128">
        <f t="shared" si="16"/>
        <v>0</v>
      </c>
      <c r="AQ35" s="128">
        <f t="shared" si="16"/>
        <v>0</v>
      </c>
      <c r="AR35" s="128">
        <f t="shared" si="16"/>
        <v>0</v>
      </c>
      <c r="AS35" s="128">
        <f t="shared" si="16"/>
        <v>0</v>
      </c>
      <c r="AT35" s="128">
        <f t="shared" si="16"/>
        <v>0</v>
      </c>
      <c r="AU35" s="752">
        <f>SUM(AO35:AT35)</f>
        <v>0</v>
      </c>
      <c r="AV35" s="207" t="str">
        <f t="shared" si="9"/>
        <v>OK</v>
      </c>
    </row>
    <row r="36" spans="1:48" ht="55.5" customHeight="1">
      <c r="A36" s="66">
        <v>26</v>
      </c>
      <c r="B36" s="151" t="s">
        <v>406</v>
      </c>
      <c r="C36" s="98" t="s">
        <v>832</v>
      </c>
      <c r="D36" s="180" t="s">
        <v>833</v>
      </c>
      <c r="E36" s="180"/>
      <c r="F36" s="469">
        <v>120212</v>
      </c>
      <c r="G36" s="421">
        <v>21259</v>
      </c>
      <c r="H36" s="421">
        <v>11</v>
      </c>
      <c r="I36" s="421"/>
      <c r="J36" s="421">
        <v>98942</v>
      </c>
      <c r="K36" s="469">
        <v>111835</v>
      </c>
      <c r="L36" s="469"/>
      <c r="M36" s="469"/>
      <c r="N36" s="469"/>
      <c r="O36" s="469"/>
      <c r="P36" s="469">
        <v>30000</v>
      </c>
      <c r="Q36" s="470"/>
      <c r="R36" s="761"/>
      <c r="S36" s="761"/>
      <c r="T36" s="471">
        <v>30000</v>
      </c>
      <c r="U36" s="756">
        <f t="shared" si="7"/>
        <v>0</v>
      </c>
      <c r="V36" s="126" t="s">
        <v>190</v>
      </c>
      <c r="W36" s="469">
        <v>21625</v>
      </c>
      <c r="X36" s="420">
        <v>127503</v>
      </c>
      <c r="Y36" s="421"/>
      <c r="Z36" s="421"/>
      <c r="AA36" s="421"/>
      <c r="AB36" s="421"/>
      <c r="AC36" s="421"/>
      <c r="AD36" s="469">
        <v>14334</v>
      </c>
      <c r="AE36" s="470"/>
      <c r="AF36" s="761"/>
      <c r="AG36" s="761"/>
      <c r="AH36" s="471">
        <v>21625</v>
      </c>
      <c r="AI36" s="472"/>
      <c r="AJ36" s="473"/>
      <c r="AK36" s="126" t="s">
        <v>190</v>
      </c>
      <c r="AL36" s="440" t="s">
        <v>425</v>
      </c>
      <c r="AM36" s="128">
        <f t="shared" si="8"/>
        <v>0</v>
      </c>
      <c r="AO36" s="62"/>
      <c r="AP36" s="62"/>
      <c r="AQ36" s="62"/>
      <c r="AR36" s="62"/>
      <c r="AS36" s="62"/>
      <c r="AT36" s="62"/>
      <c r="AU36" s="752">
        <f>SUM(AO36:AT36)</f>
        <v>0</v>
      </c>
      <c r="AV36" s="207" t="str">
        <f t="shared" si="9"/>
        <v>OK</v>
      </c>
    </row>
    <row r="37" spans="1:48" ht="55.5" customHeight="1">
      <c r="A37" s="66">
        <v>27</v>
      </c>
      <c r="B37" s="434"/>
      <c r="C37" s="92"/>
      <c r="D37" s="50" t="s">
        <v>834</v>
      </c>
      <c r="E37" s="50"/>
      <c r="F37" s="445">
        <v>4548</v>
      </c>
      <c r="G37" s="414">
        <v>1232</v>
      </c>
      <c r="H37" s="414"/>
      <c r="I37" s="414"/>
      <c r="J37" s="414">
        <v>3316</v>
      </c>
      <c r="K37" s="445">
        <v>4017</v>
      </c>
      <c r="L37" s="445"/>
      <c r="M37" s="445"/>
      <c r="N37" s="445"/>
      <c r="O37" s="445"/>
      <c r="P37" s="445">
        <v>1000</v>
      </c>
      <c r="Q37" s="446"/>
      <c r="R37" s="447"/>
      <c r="S37" s="447"/>
      <c r="T37" s="450">
        <v>1000</v>
      </c>
      <c r="U37" s="756">
        <f t="shared" si="7"/>
        <v>0</v>
      </c>
      <c r="V37" s="142" t="s">
        <v>760</v>
      </c>
      <c r="W37" s="445">
        <v>1000</v>
      </c>
      <c r="X37" s="413">
        <v>4916</v>
      </c>
      <c r="Y37" s="414"/>
      <c r="Z37" s="414"/>
      <c r="AA37" s="414"/>
      <c r="AB37" s="414"/>
      <c r="AC37" s="414"/>
      <c r="AD37" s="445">
        <v>1000</v>
      </c>
      <c r="AE37" s="446"/>
      <c r="AF37" s="447"/>
      <c r="AG37" s="447"/>
      <c r="AH37" s="450">
        <v>1000</v>
      </c>
      <c r="AI37" s="449"/>
      <c r="AJ37" s="448"/>
      <c r="AK37" s="142" t="s">
        <v>760</v>
      </c>
      <c r="AL37" s="440" t="s">
        <v>425</v>
      </c>
      <c r="AM37" s="128">
        <f t="shared" si="8"/>
        <v>0</v>
      </c>
      <c r="AO37" s="62"/>
      <c r="AP37" s="62"/>
      <c r="AQ37" s="62"/>
      <c r="AR37" s="62"/>
      <c r="AS37" s="62"/>
      <c r="AT37" s="62"/>
      <c r="AU37" s="752">
        <f>SUM(AO37:AT37)</f>
        <v>0</v>
      </c>
      <c r="AV37" s="207" t="str">
        <f t="shared" si="9"/>
        <v>OK</v>
      </c>
    </row>
    <row r="38" spans="1:48" ht="55.5" customHeight="1">
      <c r="A38" s="66">
        <v>28</v>
      </c>
      <c r="B38" s="434"/>
      <c r="C38" s="93" t="s">
        <v>473</v>
      </c>
      <c r="D38" s="50" t="s">
        <v>474</v>
      </c>
      <c r="E38" s="50" t="s">
        <v>475</v>
      </c>
      <c r="F38" s="445" t="s">
        <v>442</v>
      </c>
      <c r="G38" s="414"/>
      <c r="H38" s="414"/>
      <c r="I38" s="414"/>
      <c r="J38" s="414"/>
      <c r="K38" s="445" t="s">
        <v>442</v>
      </c>
      <c r="L38" s="445"/>
      <c r="M38" s="445"/>
      <c r="N38" s="445"/>
      <c r="O38" s="445"/>
      <c r="P38" s="445">
        <v>10721</v>
      </c>
      <c r="Q38" s="446"/>
      <c r="R38" s="447"/>
      <c r="S38" s="447"/>
      <c r="T38" s="450">
        <v>10721</v>
      </c>
      <c r="U38" s="756">
        <f t="shared" si="7"/>
        <v>0</v>
      </c>
      <c r="V38" s="142" t="s">
        <v>254</v>
      </c>
      <c r="W38" s="445">
        <v>10721</v>
      </c>
      <c r="X38" s="413"/>
      <c r="Y38" s="414"/>
      <c r="Z38" s="414"/>
      <c r="AA38" s="414"/>
      <c r="AB38" s="414"/>
      <c r="AC38" s="414"/>
      <c r="AD38" s="445"/>
      <c r="AE38" s="446"/>
      <c r="AF38" s="447"/>
      <c r="AG38" s="447"/>
      <c r="AH38" s="450">
        <v>10721</v>
      </c>
      <c r="AI38" s="449"/>
      <c r="AJ38" s="448"/>
      <c r="AK38" s="142" t="s">
        <v>254</v>
      </c>
      <c r="AL38" s="440" t="s">
        <v>425</v>
      </c>
      <c r="AM38" s="128">
        <f t="shared" si="8"/>
        <v>0</v>
      </c>
      <c r="AU38" s="752"/>
      <c r="AV38" s="207" t="str">
        <f t="shared" si="9"/>
        <v>OK</v>
      </c>
    </row>
    <row r="39" spans="1:48" ht="42" customHeight="1" thickBot="1">
      <c r="A39" s="66">
        <v>29</v>
      </c>
      <c r="B39" s="99"/>
      <c r="C39" s="94" t="s">
        <v>764</v>
      </c>
      <c r="D39" s="38"/>
      <c r="E39" s="50" t="s">
        <v>765</v>
      </c>
      <c r="F39" s="445" t="s">
        <v>442</v>
      </c>
      <c r="G39" s="762"/>
      <c r="H39" s="763"/>
      <c r="I39" s="622"/>
      <c r="J39" s="622"/>
      <c r="K39" s="445" t="s">
        <v>442</v>
      </c>
      <c r="L39" s="445"/>
      <c r="M39" s="445"/>
      <c r="N39" s="445"/>
      <c r="O39" s="445"/>
      <c r="P39" s="445">
        <v>6000</v>
      </c>
      <c r="Q39" s="446"/>
      <c r="R39" s="447"/>
      <c r="S39" s="447"/>
      <c r="T39" s="450">
        <v>6000</v>
      </c>
      <c r="U39" s="756">
        <f aca="true" t="shared" si="17" ref="U39:U44">P39-Q39-R39-S39-T39</f>
        <v>0</v>
      </c>
      <c r="V39" s="142" t="s">
        <v>766</v>
      </c>
      <c r="W39" s="445">
        <v>6000</v>
      </c>
      <c r="X39" s="413" t="s">
        <v>442</v>
      </c>
      <c r="Y39" s="764"/>
      <c r="Z39" s="764"/>
      <c r="AA39" s="764"/>
      <c r="AB39" s="764"/>
      <c r="AC39" s="492" t="e">
        <f aca="true" t="shared" si="18" ref="AC39:AC44">X39-Y39-Z39-AA39-AB39</f>
        <v>#VALUE!</v>
      </c>
      <c r="AD39" s="445">
        <v>6000</v>
      </c>
      <c r="AE39" s="446"/>
      <c r="AF39" s="447"/>
      <c r="AG39" s="447"/>
      <c r="AH39" s="450">
        <v>6000</v>
      </c>
      <c r="AI39" s="449"/>
      <c r="AJ39" s="448"/>
      <c r="AK39" s="142" t="s">
        <v>766</v>
      </c>
      <c r="AL39" s="440" t="s">
        <v>425</v>
      </c>
      <c r="AM39" s="128">
        <f aca="true" t="shared" si="19" ref="AM39:AM44">W39-AE39-AF39-AG39-AH39</f>
        <v>0</v>
      </c>
      <c r="AO39" s="48"/>
      <c r="AP39" s="156"/>
      <c r="AQ39" s="156"/>
      <c r="AR39" s="156"/>
      <c r="AS39" s="156"/>
      <c r="AT39" s="156"/>
      <c r="AU39" s="752">
        <f aca="true" t="shared" si="20" ref="AU39:AU44">SUM(AO39:AT39)</f>
        <v>0</v>
      </c>
      <c r="AV39" s="207" t="str">
        <f aca="true" t="shared" si="21" ref="AV39:AV44">IF(R39=AU39,"OK","OUT")</f>
        <v>OK</v>
      </c>
    </row>
    <row r="40" spans="2:48" ht="31.5" customHeight="1" thickBot="1">
      <c r="B40" s="95"/>
      <c r="C40" s="96"/>
      <c r="D40" s="57"/>
      <c r="E40" s="57" t="s">
        <v>403</v>
      </c>
      <c r="F40" s="467">
        <f aca="true" t="shared" si="22" ref="F40:K40">SUM(F36:F39)</f>
        <v>124760</v>
      </c>
      <c r="G40" s="373">
        <f t="shared" si="22"/>
        <v>22491</v>
      </c>
      <c r="H40" s="373">
        <f t="shared" si="22"/>
        <v>11</v>
      </c>
      <c r="I40" s="373">
        <f t="shared" si="22"/>
        <v>0</v>
      </c>
      <c r="J40" s="373">
        <f t="shared" si="22"/>
        <v>102258</v>
      </c>
      <c r="K40" s="467">
        <f t="shared" si="22"/>
        <v>115852</v>
      </c>
      <c r="L40" s="467"/>
      <c r="M40" s="467"/>
      <c r="N40" s="467"/>
      <c r="O40" s="467"/>
      <c r="P40" s="467">
        <f>SUM(P36:P39)</f>
        <v>47721</v>
      </c>
      <c r="Q40" s="468">
        <f>SUM(Q36:Q39)</f>
        <v>0</v>
      </c>
      <c r="R40" s="464">
        <f>SUM(R36:R39)</f>
        <v>0</v>
      </c>
      <c r="S40" s="464">
        <f>SUM(S36:S39)</f>
        <v>0</v>
      </c>
      <c r="T40" s="465">
        <f>SUM(T36:T39)</f>
        <v>47721</v>
      </c>
      <c r="U40" s="756">
        <f t="shared" si="17"/>
        <v>0</v>
      </c>
      <c r="V40" s="144"/>
      <c r="W40" s="467">
        <f aca="true" t="shared" si="23" ref="W40:AB40">SUM(W36:W39)</f>
        <v>39346</v>
      </c>
      <c r="X40" s="422">
        <f t="shared" si="23"/>
        <v>132419</v>
      </c>
      <c r="Y40" s="373">
        <f t="shared" si="23"/>
        <v>0</v>
      </c>
      <c r="Z40" s="373">
        <f t="shared" si="23"/>
        <v>0</v>
      </c>
      <c r="AA40" s="373">
        <f t="shared" si="23"/>
        <v>0</v>
      </c>
      <c r="AB40" s="373">
        <f t="shared" si="23"/>
        <v>0</v>
      </c>
      <c r="AC40" s="492">
        <f t="shared" si="18"/>
        <v>132419</v>
      </c>
      <c r="AD40" s="467">
        <f>SUM(AD36:AD39)</f>
        <v>21334</v>
      </c>
      <c r="AE40" s="468">
        <f>SUM(AE36:AE39)</f>
        <v>0</v>
      </c>
      <c r="AF40" s="464">
        <f>SUM(AF36:AF39)</f>
        <v>0</v>
      </c>
      <c r="AG40" s="464">
        <f>SUM(AG36:AG39)</f>
        <v>0</v>
      </c>
      <c r="AH40" s="465">
        <f>SUM(AH36:AH39)</f>
        <v>39346</v>
      </c>
      <c r="AI40" s="466"/>
      <c r="AJ40" s="465"/>
      <c r="AK40" s="144"/>
      <c r="AL40" s="440"/>
      <c r="AM40" s="128">
        <f t="shared" si="19"/>
        <v>0</v>
      </c>
      <c r="AO40" s="97">
        <f aca="true" t="shared" si="24" ref="AO40:AT40">SUM(AO38:AO39)</f>
        <v>0</v>
      </c>
      <c r="AP40" s="97">
        <f t="shared" si="24"/>
        <v>0</v>
      </c>
      <c r="AQ40" s="97">
        <f t="shared" si="24"/>
        <v>0</v>
      </c>
      <c r="AR40" s="97">
        <f t="shared" si="24"/>
        <v>0</v>
      </c>
      <c r="AS40" s="97">
        <f t="shared" si="24"/>
        <v>0</v>
      </c>
      <c r="AT40" s="97">
        <f t="shared" si="24"/>
        <v>0</v>
      </c>
      <c r="AU40" s="752">
        <f t="shared" si="20"/>
        <v>0</v>
      </c>
      <c r="AV40" s="207" t="str">
        <f t="shared" si="21"/>
        <v>OK</v>
      </c>
    </row>
    <row r="41" spans="1:48" ht="31.5" customHeight="1" thickBot="1">
      <c r="A41" s="66">
        <v>30</v>
      </c>
      <c r="B41" s="88" t="s">
        <v>169</v>
      </c>
      <c r="C41" s="90" t="s">
        <v>768</v>
      </c>
      <c r="D41" s="51" t="s">
        <v>769</v>
      </c>
      <c r="E41" s="38" t="s">
        <v>770</v>
      </c>
      <c r="F41" s="452" t="s">
        <v>442</v>
      </c>
      <c r="G41" s="416"/>
      <c r="H41" s="416"/>
      <c r="I41" s="416"/>
      <c r="J41" s="416"/>
      <c r="K41" s="452" t="s">
        <v>442</v>
      </c>
      <c r="L41" s="452"/>
      <c r="M41" s="452"/>
      <c r="N41" s="452"/>
      <c r="O41" s="452"/>
      <c r="P41" s="452">
        <v>5000</v>
      </c>
      <c r="Q41" s="453"/>
      <c r="R41" s="454"/>
      <c r="S41" s="454"/>
      <c r="T41" s="455">
        <v>5000</v>
      </c>
      <c r="U41" s="756">
        <f t="shared" si="17"/>
        <v>0</v>
      </c>
      <c r="V41" s="129"/>
      <c r="W41" s="452">
        <v>5000</v>
      </c>
      <c r="X41" s="415" t="s">
        <v>442</v>
      </c>
      <c r="Y41" s="416"/>
      <c r="Z41" s="416"/>
      <c r="AA41" s="416"/>
      <c r="AB41" s="416"/>
      <c r="AC41" s="492" t="e">
        <f t="shared" si="18"/>
        <v>#VALUE!</v>
      </c>
      <c r="AD41" s="452">
        <v>5000</v>
      </c>
      <c r="AE41" s="453"/>
      <c r="AF41" s="454"/>
      <c r="AG41" s="454"/>
      <c r="AH41" s="455">
        <v>5000</v>
      </c>
      <c r="AI41" s="456"/>
      <c r="AJ41" s="457"/>
      <c r="AK41" s="129"/>
      <c r="AL41" s="440" t="s">
        <v>771</v>
      </c>
      <c r="AM41" s="128">
        <f t="shared" si="19"/>
        <v>0</v>
      </c>
      <c r="AU41" s="752">
        <f t="shared" si="20"/>
        <v>0</v>
      </c>
      <c r="AV41" s="207" t="str">
        <f t="shared" si="21"/>
        <v>OK</v>
      </c>
    </row>
    <row r="42" spans="2:48" ht="37.5" customHeight="1" thickBot="1">
      <c r="B42" s="95"/>
      <c r="C42" s="96"/>
      <c r="D42" s="57"/>
      <c r="E42" s="57" t="s">
        <v>403</v>
      </c>
      <c r="F42" s="467">
        <f aca="true" t="shared" si="25" ref="F42:K42">SUM(F41:F41)</f>
        <v>0</v>
      </c>
      <c r="G42" s="373">
        <f t="shared" si="25"/>
        <v>0</v>
      </c>
      <c r="H42" s="373">
        <f t="shared" si="25"/>
        <v>0</v>
      </c>
      <c r="I42" s="373">
        <f t="shared" si="25"/>
        <v>0</v>
      </c>
      <c r="J42" s="373">
        <f t="shared" si="25"/>
        <v>0</v>
      </c>
      <c r="K42" s="467">
        <f t="shared" si="25"/>
        <v>0</v>
      </c>
      <c r="L42" s="467"/>
      <c r="M42" s="467"/>
      <c r="N42" s="467"/>
      <c r="O42" s="467"/>
      <c r="P42" s="467">
        <f>SUM(P41:P41)</f>
        <v>5000</v>
      </c>
      <c r="Q42" s="468">
        <f>SUM(Q41:Q41)</f>
        <v>0</v>
      </c>
      <c r="R42" s="464">
        <f>SUM(R41:R41)</f>
        <v>0</v>
      </c>
      <c r="S42" s="464">
        <f>SUM(S41:S41)</f>
        <v>0</v>
      </c>
      <c r="T42" s="465">
        <f>SUM(T41:T41)</f>
        <v>5000</v>
      </c>
      <c r="U42" s="756">
        <f t="shared" si="17"/>
        <v>0</v>
      </c>
      <c r="V42" s="144"/>
      <c r="W42" s="467">
        <f>SUM(W41:W41)</f>
        <v>5000</v>
      </c>
      <c r="X42" s="422">
        <f>SUM(X41:X41)</f>
        <v>0</v>
      </c>
      <c r="Y42" s="373"/>
      <c r="Z42" s="373"/>
      <c r="AA42" s="373"/>
      <c r="AB42" s="373"/>
      <c r="AC42" s="492">
        <f t="shared" si="18"/>
        <v>0</v>
      </c>
      <c r="AD42" s="467">
        <f>SUM(AD41:AD41)</f>
        <v>5000</v>
      </c>
      <c r="AE42" s="468">
        <f>SUM(AE41:AE41)</f>
        <v>0</v>
      </c>
      <c r="AF42" s="464">
        <f>SUM(AF41:AF41)</f>
        <v>0</v>
      </c>
      <c r="AG42" s="464">
        <f>SUM(AG41:AG41)</f>
        <v>0</v>
      </c>
      <c r="AH42" s="465">
        <f>SUM(AH41:AH41)</f>
        <v>5000</v>
      </c>
      <c r="AI42" s="466"/>
      <c r="AJ42" s="465"/>
      <c r="AK42" s="144"/>
      <c r="AL42" s="440"/>
      <c r="AM42" s="128">
        <f t="shared" si="19"/>
        <v>0</v>
      </c>
      <c r="AO42" s="59">
        <f aca="true" t="shared" si="26" ref="AO42:AT42">SUM(AO41:AO41)</f>
        <v>0</v>
      </c>
      <c r="AP42" s="59">
        <f t="shared" si="26"/>
        <v>0</v>
      </c>
      <c r="AQ42" s="59">
        <f t="shared" si="26"/>
        <v>0</v>
      </c>
      <c r="AR42" s="59">
        <f t="shared" si="26"/>
        <v>0</v>
      </c>
      <c r="AS42" s="59">
        <f t="shared" si="26"/>
        <v>0</v>
      </c>
      <c r="AT42" s="59">
        <f t="shared" si="26"/>
        <v>0</v>
      </c>
      <c r="AU42" s="752">
        <f t="shared" si="20"/>
        <v>0</v>
      </c>
      <c r="AV42" s="207" t="str">
        <f t="shared" si="21"/>
        <v>OK</v>
      </c>
    </row>
    <row r="43" spans="1:48" ht="50.25" customHeight="1">
      <c r="A43" s="66">
        <v>31</v>
      </c>
      <c r="B43" s="102" t="s">
        <v>285</v>
      </c>
      <c r="C43" s="98" t="s">
        <v>392</v>
      </c>
      <c r="D43" s="38" t="s">
        <v>749</v>
      </c>
      <c r="E43" s="38"/>
      <c r="F43" s="452" t="s">
        <v>442</v>
      </c>
      <c r="G43" s="416"/>
      <c r="H43" s="416"/>
      <c r="I43" s="416"/>
      <c r="J43" s="416"/>
      <c r="K43" s="452" t="s">
        <v>442</v>
      </c>
      <c r="L43" s="452"/>
      <c r="M43" s="452"/>
      <c r="N43" s="452"/>
      <c r="O43" s="452"/>
      <c r="P43" s="452">
        <v>2000</v>
      </c>
      <c r="Q43" s="453"/>
      <c r="R43" s="454"/>
      <c r="S43" s="454"/>
      <c r="T43" s="455">
        <v>2000</v>
      </c>
      <c r="U43" s="756">
        <f t="shared" si="17"/>
        <v>0</v>
      </c>
      <c r="V43" s="129" t="s">
        <v>758</v>
      </c>
      <c r="W43" s="452">
        <v>2000</v>
      </c>
      <c r="X43" s="415" t="s">
        <v>442</v>
      </c>
      <c r="Y43" s="416"/>
      <c r="Z43" s="416"/>
      <c r="AA43" s="416"/>
      <c r="AB43" s="416"/>
      <c r="AC43" s="492" t="e">
        <f t="shared" si="18"/>
        <v>#VALUE!</v>
      </c>
      <c r="AD43" s="452">
        <v>2000</v>
      </c>
      <c r="AE43" s="453"/>
      <c r="AF43" s="454"/>
      <c r="AG43" s="454"/>
      <c r="AH43" s="455">
        <v>2000</v>
      </c>
      <c r="AI43" s="456"/>
      <c r="AJ43" s="457"/>
      <c r="AK43" s="129" t="s">
        <v>758</v>
      </c>
      <c r="AL43" s="440" t="s">
        <v>425</v>
      </c>
      <c r="AM43" s="128">
        <f t="shared" si="19"/>
        <v>0</v>
      </c>
      <c r="AU43" s="752">
        <f t="shared" si="20"/>
        <v>0</v>
      </c>
      <c r="AV43" s="207" t="str">
        <f t="shared" si="21"/>
        <v>OK</v>
      </c>
    </row>
    <row r="44" spans="1:48" ht="50.25" customHeight="1">
      <c r="A44" s="66">
        <v>32</v>
      </c>
      <c r="B44" s="99"/>
      <c r="C44" s="90" t="s">
        <v>313</v>
      </c>
      <c r="D44" s="38" t="s">
        <v>522</v>
      </c>
      <c r="E44" s="38" t="s">
        <v>523</v>
      </c>
      <c r="F44" s="452">
        <v>375398</v>
      </c>
      <c r="G44" s="764"/>
      <c r="H44" s="764"/>
      <c r="I44" s="617"/>
      <c r="J44" s="617">
        <v>375398</v>
      </c>
      <c r="K44" s="452">
        <v>368165</v>
      </c>
      <c r="L44" s="452"/>
      <c r="M44" s="452"/>
      <c r="N44" s="452"/>
      <c r="O44" s="452"/>
      <c r="P44" s="452">
        <v>90000</v>
      </c>
      <c r="Q44" s="453"/>
      <c r="R44" s="454"/>
      <c r="S44" s="454"/>
      <c r="T44" s="455">
        <v>90000</v>
      </c>
      <c r="U44" s="756">
        <f t="shared" si="17"/>
        <v>0</v>
      </c>
      <c r="V44" s="129" t="s">
        <v>565</v>
      </c>
      <c r="W44" s="452">
        <v>90000</v>
      </c>
      <c r="X44" s="415">
        <v>371263</v>
      </c>
      <c r="Y44" s="764"/>
      <c r="Z44" s="764"/>
      <c r="AA44" s="764"/>
      <c r="AB44" s="764"/>
      <c r="AC44" s="492">
        <f t="shared" si="18"/>
        <v>371263</v>
      </c>
      <c r="AD44" s="452">
        <v>90000</v>
      </c>
      <c r="AE44" s="453"/>
      <c r="AF44" s="454"/>
      <c r="AG44" s="454"/>
      <c r="AH44" s="455">
        <v>90000</v>
      </c>
      <c r="AI44" s="456"/>
      <c r="AJ44" s="457"/>
      <c r="AK44" s="129" t="s">
        <v>297</v>
      </c>
      <c r="AL44" s="440" t="s">
        <v>425</v>
      </c>
      <c r="AM44" s="128">
        <f t="shared" si="19"/>
        <v>0</v>
      </c>
      <c r="AO44" s="25"/>
      <c r="AU44" s="752">
        <f t="shared" si="20"/>
        <v>0</v>
      </c>
      <c r="AV44" s="207" t="str">
        <f t="shared" si="21"/>
        <v>OK</v>
      </c>
    </row>
    <row r="45" spans="1:49" ht="58.5" customHeight="1">
      <c r="A45" s="66">
        <v>33</v>
      </c>
      <c r="B45" s="99"/>
      <c r="C45" s="93" t="s">
        <v>671</v>
      </c>
      <c r="D45" s="51" t="s">
        <v>704</v>
      </c>
      <c r="E45" s="51" t="s">
        <v>777</v>
      </c>
      <c r="F45" s="482">
        <v>417125</v>
      </c>
      <c r="G45" s="427"/>
      <c r="H45" s="427"/>
      <c r="I45" s="427"/>
      <c r="J45" s="427"/>
      <c r="K45" s="482">
        <v>272171</v>
      </c>
      <c r="L45" s="482"/>
      <c r="M45" s="482"/>
      <c r="N45" s="482"/>
      <c r="O45" s="482"/>
      <c r="P45" s="482">
        <v>50000</v>
      </c>
      <c r="Q45" s="483"/>
      <c r="R45" s="484">
        <v>50000</v>
      </c>
      <c r="S45" s="484"/>
      <c r="T45" s="485"/>
      <c r="U45" s="756">
        <f>P45-Q45-R45-S45-T45</f>
        <v>0</v>
      </c>
      <c r="V45" s="145" t="s">
        <v>48</v>
      </c>
      <c r="W45" s="482">
        <v>100000</v>
      </c>
      <c r="X45" s="426">
        <v>309315</v>
      </c>
      <c r="Y45" s="427"/>
      <c r="Z45" s="427"/>
      <c r="AA45" s="427"/>
      <c r="AB45" s="427"/>
      <c r="AC45" s="492">
        <f aca="true" t="shared" si="27" ref="AC45:AC50">X45-Y45-Z45-AA45-AB45</f>
        <v>309315</v>
      </c>
      <c r="AD45" s="482">
        <v>100000</v>
      </c>
      <c r="AE45" s="483"/>
      <c r="AF45" s="484">
        <v>100000</v>
      </c>
      <c r="AG45" s="484"/>
      <c r="AH45" s="485"/>
      <c r="AI45" s="486"/>
      <c r="AJ45" s="487"/>
      <c r="AK45" s="145" t="s">
        <v>48</v>
      </c>
      <c r="AL45" s="440" t="s">
        <v>425</v>
      </c>
      <c r="AM45" s="128">
        <f>W45-AE45-AF45-AG45-AH45</f>
        <v>0</v>
      </c>
      <c r="AO45" s="753"/>
      <c r="AP45" s="753"/>
      <c r="AQ45" s="753"/>
      <c r="AR45" s="753"/>
      <c r="AS45" s="36"/>
      <c r="AT45" s="53">
        <v>50000</v>
      </c>
      <c r="AU45" s="752">
        <f>SUM(AO45:AT45)</f>
        <v>50000</v>
      </c>
      <c r="AV45" s="207" t="str">
        <f>IF(R45=AU45,"OK","OUT")</f>
        <v>OK</v>
      </c>
      <c r="AW45" s="53">
        <v>50000</v>
      </c>
    </row>
    <row r="46" spans="1:49" ht="48" customHeight="1">
      <c r="A46" s="66">
        <v>34</v>
      </c>
      <c r="B46" s="99"/>
      <c r="C46" s="93" t="s">
        <v>27</v>
      </c>
      <c r="D46" s="51" t="s">
        <v>622</v>
      </c>
      <c r="E46" s="51" t="s">
        <v>672</v>
      </c>
      <c r="F46" s="482" t="s">
        <v>442</v>
      </c>
      <c r="G46" s="427"/>
      <c r="H46" s="427"/>
      <c r="I46" s="427"/>
      <c r="J46" s="427"/>
      <c r="K46" s="482" t="s">
        <v>442</v>
      </c>
      <c r="L46" s="482"/>
      <c r="M46" s="482"/>
      <c r="N46" s="482"/>
      <c r="O46" s="482"/>
      <c r="P46" s="482">
        <v>200000</v>
      </c>
      <c r="Q46" s="483"/>
      <c r="R46" s="484">
        <v>200000</v>
      </c>
      <c r="S46" s="484"/>
      <c r="T46" s="485"/>
      <c r="U46" s="756">
        <f>P46-Q46-R46-S46-T46</f>
        <v>0</v>
      </c>
      <c r="V46" s="145" t="s">
        <v>329</v>
      </c>
      <c r="W46" s="482">
        <v>150000</v>
      </c>
      <c r="X46" s="426" t="s">
        <v>442</v>
      </c>
      <c r="Y46" s="427"/>
      <c r="Z46" s="427"/>
      <c r="AA46" s="427"/>
      <c r="AB46" s="427"/>
      <c r="AC46" s="492" t="e">
        <f t="shared" si="27"/>
        <v>#VALUE!</v>
      </c>
      <c r="AD46" s="482">
        <v>150000</v>
      </c>
      <c r="AE46" s="483"/>
      <c r="AF46" s="484">
        <v>150000</v>
      </c>
      <c r="AG46" s="484"/>
      <c r="AH46" s="485"/>
      <c r="AI46" s="486"/>
      <c r="AJ46" s="487"/>
      <c r="AK46" s="145" t="s">
        <v>329</v>
      </c>
      <c r="AL46" s="440" t="s">
        <v>425</v>
      </c>
      <c r="AM46" s="128">
        <f>W46-AE46-AF46-AG46-AH46</f>
        <v>0</v>
      </c>
      <c r="AO46" s="753"/>
      <c r="AP46" s="753"/>
      <c r="AQ46" s="753"/>
      <c r="AR46" s="753"/>
      <c r="AS46" s="53"/>
      <c r="AT46" s="53">
        <v>200000</v>
      </c>
      <c r="AU46" s="752">
        <f>SUM(AO46:AT46)</f>
        <v>200000</v>
      </c>
      <c r="AV46" s="207" t="str">
        <f>IF(R46=AU46,"OK","OUT")</f>
        <v>OK</v>
      </c>
      <c r="AW46" s="53">
        <v>200000</v>
      </c>
    </row>
    <row r="47" spans="1:49" ht="55.5" customHeight="1" thickBot="1">
      <c r="A47" s="66">
        <v>35</v>
      </c>
      <c r="B47" s="99"/>
      <c r="C47" s="148" t="s">
        <v>27</v>
      </c>
      <c r="D47" s="51" t="s">
        <v>746</v>
      </c>
      <c r="E47" s="51"/>
      <c r="F47" s="482">
        <v>275910</v>
      </c>
      <c r="G47" s="427">
        <v>16969</v>
      </c>
      <c r="H47" s="427"/>
      <c r="I47" s="427"/>
      <c r="J47" s="427">
        <v>258941</v>
      </c>
      <c r="K47" s="482">
        <v>298183</v>
      </c>
      <c r="L47" s="482"/>
      <c r="M47" s="482"/>
      <c r="N47" s="482"/>
      <c r="O47" s="482"/>
      <c r="P47" s="482">
        <v>50000</v>
      </c>
      <c r="Q47" s="483"/>
      <c r="R47" s="495">
        <v>50000</v>
      </c>
      <c r="S47" s="495"/>
      <c r="T47" s="485"/>
      <c r="U47" s="756">
        <f>P47-Q47-R47-S47-T47</f>
        <v>0</v>
      </c>
      <c r="V47" s="145" t="s">
        <v>49</v>
      </c>
      <c r="W47" s="482">
        <v>100000</v>
      </c>
      <c r="X47" s="426">
        <v>268820</v>
      </c>
      <c r="Y47" s="427"/>
      <c r="Z47" s="427"/>
      <c r="AA47" s="427"/>
      <c r="AB47" s="427"/>
      <c r="AC47" s="492">
        <f t="shared" si="27"/>
        <v>268820</v>
      </c>
      <c r="AD47" s="482">
        <v>150000</v>
      </c>
      <c r="AE47" s="483"/>
      <c r="AF47" s="495">
        <v>100000</v>
      </c>
      <c r="AG47" s="495"/>
      <c r="AH47" s="485"/>
      <c r="AI47" s="486"/>
      <c r="AJ47" s="487"/>
      <c r="AK47" s="145" t="s">
        <v>49</v>
      </c>
      <c r="AL47" s="440" t="s">
        <v>425</v>
      </c>
      <c r="AM47" s="128">
        <f>W47-AE47-AF47-AG47-AH47</f>
        <v>0</v>
      </c>
      <c r="AO47" s="753"/>
      <c r="AP47" s="753"/>
      <c r="AQ47" s="753"/>
      <c r="AR47" s="753"/>
      <c r="AS47" s="53"/>
      <c r="AT47" s="40">
        <v>50000</v>
      </c>
      <c r="AU47" s="752">
        <f>SUM(AO47:AT47)</f>
        <v>50000</v>
      </c>
      <c r="AV47" s="207" t="str">
        <f>IF(R47=AU47,"OK","OUT")</f>
        <v>OK</v>
      </c>
      <c r="AW47" s="40">
        <v>50000</v>
      </c>
    </row>
    <row r="48" spans="2:48" ht="31.5" customHeight="1" thickBot="1">
      <c r="B48" s="95"/>
      <c r="C48" s="96"/>
      <c r="D48" s="57"/>
      <c r="E48" s="57" t="s">
        <v>403</v>
      </c>
      <c r="F48" s="467">
        <f>SUM(F43:F47)</f>
        <v>1068433</v>
      </c>
      <c r="G48" s="373"/>
      <c r="H48" s="373"/>
      <c r="I48" s="373"/>
      <c r="J48" s="373"/>
      <c r="K48" s="467">
        <f>SUM(K43:K47)</f>
        <v>938519</v>
      </c>
      <c r="L48" s="467"/>
      <c r="M48" s="467"/>
      <c r="N48" s="467"/>
      <c r="O48" s="467"/>
      <c r="P48" s="815">
        <f>SUM(P43:P47)</f>
        <v>392000</v>
      </c>
      <c r="Q48" s="476">
        <f>SUM(Q43:Q47)</f>
        <v>0</v>
      </c>
      <c r="R48" s="464">
        <f>SUM(R43:R47)</f>
        <v>300000</v>
      </c>
      <c r="S48" s="464">
        <f>SUM(S43:S47)</f>
        <v>0</v>
      </c>
      <c r="T48" s="465">
        <f>SUM(T43:T47)</f>
        <v>92000</v>
      </c>
      <c r="U48" s="756">
        <f>P48-Q48-R48-S48-T48</f>
        <v>0</v>
      </c>
      <c r="V48" s="144"/>
      <c r="W48" s="467">
        <f>SUM(W43:W47)</f>
        <v>442000</v>
      </c>
      <c r="X48" s="422">
        <f>SUM(X43:X47)</f>
        <v>949398</v>
      </c>
      <c r="Y48" s="373"/>
      <c r="Z48" s="373"/>
      <c r="AA48" s="373"/>
      <c r="AB48" s="373"/>
      <c r="AC48" s="492">
        <f t="shared" si="27"/>
        <v>949398</v>
      </c>
      <c r="AD48" s="467">
        <f>SUM(AD43:AD47)</f>
        <v>492000</v>
      </c>
      <c r="AE48" s="466">
        <f>SUM(AE43:AE47)</f>
        <v>0</v>
      </c>
      <c r="AF48" s="464">
        <f>SUM(AF43:AF47)</f>
        <v>350000</v>
      </c>
      <c r="AG48" s="464">
        <f>SUM(AG43:AG47)</f>
        <v>0</v>
      </c>
      <c r="AH48" s="465">
        <f>SUM(AH43:AH47)</f>
        <v>92000</v>
      </c>
      <c r="AI48" s="466"/>
      <c r="AJ48" s="465"/>
      <c r="AK48" s="144"/>
      <c r="AL48" s="440"/>
      <c r="AM48" s="128">
        <f>W48-AE48-AF48-AG48-AH48</f>
        <v>0</v>
      </c>
      <c r="AO48" s="59">
        <f aca="true" t="shared" si="28" ref="AO48:AT48">SUM(AO43:AO47)</f>
        <v>0</v>
      </c>
      <c r="AP48" s="59">
        <f t="shared" si="28"/>
        <v>0</v>
      </c>
      <c r="AQ48" s="59">
        <f t="shared" si="28"/>
        <v>0</v>
      </c>
      <c r="AR48" s="59">
        <f t="shared" si="28"/>
        <v>0</v>
      </c>
      <c r="AS48" s="59">
        <f t="shared" si="28"/>
        <v>0</v>
      </c>
      <c r="AT48" s="59">
        <f t="shared" si="28"/>
        <v>300000</v>
      </c>
      <c r="AU48" s="752">
        <f>SUM(AO48:AT48)</f>
        <v>300000</v>
      </c>
      <c r="AV48" s="207" t="str">
        <f>IF(R48=AU48,"OK","OUT")</f>
        <v>OK</v>
      </c>
    </row>
    <row r="49" spans="1:48" ht="38.25" customHeight="1" thickBot="1">
      <c r="A49" s="66">
        <v>36</v>
      </c>
      <c r="B49" s="88" t="s">
        <v>416</v>
      </c>
      <c r="C49" s="93" t="s">
        <v>536</v>
      </c>
      <c r="D49" s="38" t="s">
        <v>536</v>
      </c>
      <c r="E49" s="38" t="s">
        <v>569</v>
      </c>
      <c r="F49" s="452">
        <v>901333</v>
      </c>
      <c r="G49" s="416"/>
      <c r="H49" s="416"/>
      <c r="I49" s="416"/>
      <c r="J49" s="416"/>
      <c r="K49" s="452">
        <v>908943</v>
      </c>
      <c r="L49" s="452"/>
      <c r="M49" s="452"/>
      <c r="N49" s="452"/>
      <c r="O49" s="452"/>
      <c r="P49" s="817">
        <v>48430</v>
      </c>
      <c r="Q49" s="818"/>
      <c r="R49" s="454"/>
      <c r="S49" s="454"/>
      <c r="T49" s="455">
        <v>48430</v>
      </c>
      <c r="U49" s="756">
        <f>P49-Q49-R49-S49-T49</f>
        <v>0</v>
      </c>
      <c r="V49" s="129" t="s">
        <v>562</v>
      </c>
      <c r="W49" s="452">
        <f>X49-F49</f>
        <v>56040</v>
      </c>
      <c r="X49" s="415">
        <v>957373</v>
      </c>
      <c r="Y49" s="416"/>
      <c r="Z49" s="416"/>
      <c r="AA49" s="416"/>
      <c r="AB49" s="416"/>
      <c r="AC49" s="492">
        <f t="shared" si="27"/>
        <v>957373</v>
      </c>
      <c r="AD49" s="452">
        <v>37559</v>
      </c>
      <c r="AE49" s="453"/>
      <c r="AF49" s="454"/>
      <c r="AG49" s="454"/>
      <c r="AH49" s="455">
        <v>56040</v>
      </c>
      <c r="AI49" s="456"/>
      <c r="AJ49" s="457"/>
      <c r="AK49" s="129" t="s">
        <v>821</v>
      </c>
      <c r="AL49" s="440" t="s">
        <v>425</v>
      </c>
      <c r="AM49" s="128">
        <f>W49-AE49-AF49-AG49-AH49</f>
        <v>0</v>
      </c>
      <c r="AO49" s="25"/>
      <c r="AU49" s="752">
        <f aca="true" t="shared" si="29" ref="AU49:AU58">SUM(AO49:AT49)</f>
        <v>0</v>
      </c>
      <c r="AV49" s="207" t="str">
        <f>IF(R49=AU49,"OK","OUT")</f>
        <v>OK</v>
      </c>
    </row>
    <row r="50" spans="2:48" ht="31.5" customHeight="1" thickBot="1">
      <c r="B50" s="95"/>
      <c r="C50" s="96"/>
      <c r="D50" s="57"/>
      <c r="E50" s="57" t="s">
        <v>403</v>
      </c>
      <c r="F50" s="333">
        <f>SUM(F49:F49)</f>
        <v>901333</v>
      </c>
      <c r="G50" s="373"/>
      <c r="H50" s="373"/>
      <c r="I50" s="373"/>
      <c r="J50" s="373"/>
      <c r="K50" s="333">
        <f>SUM(K49:K49)</f>
        <v>908943</v>
      </c>
      <c r="L50" s="333"/>
      <c r="M50" s="333"/>
      <c r="N50" s="333"/>
      <c r="O50" s="333"/>
      <c r="P50" s="670">
        <f>SUM(P49:P49)</f>
        <v>48430</v>
      </c>
      <c r="Q50" s="816">
        <f>SUM(Q49:Q49)</f>
        <v>0</v>
      </c>
      <c r="R50" s="105">
        <f>SUM(R49:R49)</f>
        <v>0</v>
      </c>
      <c r="S50" s="105">
        <f>SUM(S49:S49)</f>
        <v>0</v>
      </c>
      <c r="T50" s="106">
        <f>SUM(T49:T49)</f>
        <v>48430</v>
      </c>
      <c r="U50" s="756">
        <f aca="true" t="shared" si="30" ref="U50:U59">P50-Q50-R50-S50-T50</f>
        <v>0</v>
      </c>
      <c r="V50" s="144"/>
      <c r="W50" s="333">
        <f>SUM(W49:W49)</f>
        <v>56040</v>
      </c>
      <c r="X50" s="422">
        <f>SUM(X49:X49)</f>
        <v>957373</v>
      </c>
      <c r="Y50" s="373"/>
      <c r="Z50" s="373"/>
      <c r="AA50" s="373"/>
      <c r="AB50" s="373"/>
      <c r="AC50" s="623">
        <f t="shared" si="27"/>
        <v>957373</v>
      </c>
      <c r="AD50" s="333">
        <f>SUM(AD49:AD49)</f>
        <v>37559</v>
      </c>
      <c r="AE50" s="121">
        <f>SUM(AE49:AE49)</f>
        <v>0</v>
      </c>
      <c r="AF50" s="105">
        <f>SUM(AF49:AF49)</f>
        <v>0</v>
      </c>
      <c r="AG50" s="105">
        <f>SUM(AG49:AG49)</f>
        <v>0</v>
      </c>
      <c r="AH50" s="106">
        <f>SUM(AH49:AH49)</f>
        <v>56040</v>
      </c>
      <c r="AI50" s="121"/>
      <c r="AJ50" s="106"/>
      <c r="AK50" s="144"/>
      <c r="AL50" s="440"/>
      <c r="AM50" s="128">
        <f aca="true" t="shared" si="31" ref="AM50:AM59">W50-AE50-AF50-AG50-AH50</f>
        <v>0</v>
      </c>
      <c r="AO50" s="103">
        <f aca="true" t="shared" si="32" ref="AO50:AT50">SUM(AO49:AO49)</f>
        <v>0</v>
      </c>
      <c r="AP50" s="103">
        <f t="shared" si="32"/>
        <v>0</v>
      </c>
      <c r="AQ50" s="103">
        <f t="shared" si="32"/>
        <v>0</v>
      </c>
      <c r="AR50" s="103">
        <f t="shared" si="32"/>
        <v>0</v>
      </c>
      <c r="AS50" s="103">
        <f t="shared" si="32"/>
        <v>0</v>
      </c>
      <c r="AT50" s="103">
        <f t="shared" si="32"/>
        <v>0</v>
      </c>
      <c r="AU50" s="752">
        <f t="shared" si="29"/>
        <v>0</v>
      </c>
      <c r="AV50" s="207" t="str">
        <f aca="true" t="shared" si="33" ref="AV50:AV59">IF(R50=AU50,"OK","OUT")</f>
        <v>OK</v>
      </c>
    </row>
    <row r="51" spans="1:49" ht="52.5" customHeight="1">
      <c r="A51" s="66">
        <v>37</v>
      </c>
      <c r="B51" s="89" t="s">
        <v>415</v>
      </c>
      <c r="C51" s="217" t="s">
        <v>423</v>
      </c>
      <c r="D51" s="38" t="s">
        <v>753</v>
      </c>
      <c r="E51" s="38" t="s">
        <v>767</v>
      </c>
      <c r="F51" s="332">
        <v>2011082</v>
      </c>
      <c r="G51" s="416"/>
      <c r="H51" s="416"/>
      <c r="I51" s="416"/>
      <c r="J51" s="416"/>
      <c r="K51" s="332">
        <v>1788990</v>
      </c>
      <c r="L51" s="332"/>
      <c r="M51" s="332"/>
      <c r="N51" s="332"/>
      <c r="O51" s="332"/>
      <c r="P51" s="332">
        <v>7737</v>
      </c>
      <c r="Q51" s="320"/>
      <c r="R51" s="187"/>
      <c r="S51" s="187"/>
      <c r="T51" s="188">
        <v>7737</v>
      </c>
      <c r="U51" s="756">
        <f t="shared" si="30"/>
        <v>0</v>
      </c>
      <c r="V51" s="129" t="s">
        <v>0</v>
      </c>
      <c r="W51" s="332">
        <v>7737</v>
      </c>
      <c r="X51" s="415">
        <v>1849128</v>
      </c>
      <c r="Y51" s="416"/>
      <c r="Z51" s="416"/>
      <c r="AA51" s="416"/>
      <c r="AB51" s="416"/>
      <c r="AC51" s="492">
        <f aca="true" t="shared" si="34" ref="AC51:AC57">X51-Y51-Z51-AA51-AB51</f>
        <v>1849128</v>
      </c>
      <c r="AD51" s="332">
        <v>7762</v>
      </c>
      <c r="AE51" s="320"/>
      <c r="AF51" s="187"/>
      <c r="AG51" s="187"/>
      <c r="AH51" s="188">
        <v>7737</v>
      </c>
      <c r="AI51" s="177"/>
      <c r="AJ51" s="189"/>
      <c r="AK51" s="129" t="s">
        <v>0</v>
      </c>
      <c r="AL51" s="440" t="s">
        <v>425</v>
      </c>
      <c r="AM51" s="128">
        <f t="shared" si="31"/>
        <v>0</v>
      </c>
      <c r="AU51" s="752">
        <f t="shared" si="29"/>
        <v>0</v>
      </c>
      <c r="AV51" s="207" t="str">
        <f t="shared" si="33"/>
        <v>OK</v>
      </c>
      <c r="AW51" s="25"/>
    </row>
    <row r="52" spans="1:49" ht="56.25" customHeight="1">
      <c r="A52" s="66">
        <v>38</v>
      </c>
      <c r="B52" s="89"/>
      <c r="C52" s="218" t="s">
        <v>235</v>
      </c>
      <c r="D52" s="38" t="s">
        <v>237</v>
      </c>
      <c r="E52" s="38" t="s">
        <v>64</v>
      </c>
      <c r="F52" s="452">
        <v>154782768</v>
      </c>
      <c r="G52" s="416">
        <v>40085762</v>
      </c>
      <c r="H52" s="416"/>
      <c r="I52" s="416"/>
      <c r="J52" s="416">
        <v>114697006</v>
      </c>
      <c r="K52" s="452">
        <v>151429201</v>
      </c>
      <c r="L52" s="452"/>
      <c r="M52" s="452"/>
      <c r="N52" s="452"/>
      <c r="O52" s="452"/>
      <c r="P52" s="452">
        <v>1476000</v>
      </c>
      <c r="Q52" s="453"/>
      <c r="R52" s="454"/>
      <c r="S52" s="454"/>
      <c r="T52" s="455">
        <v>1476000</v>
      </c>
      <c r="U52" s="756">
        <f t="shared" si="30"/>
        <v>0</v>
      </c>
      <c r="V52" s="129" t="s">
        <v>567</v>
      </c>
      <c r="W52" s="452">
        <v>1504000</v>
      </c>
      <c r="X52" s="415">
        <v>158619628</v>
      </c>
      <c r="Y52" s="416"/>
      <c r="Z52" s="416"/>
      <c r="AA52" s="416"/>
      <c r="AB52" s="416"/>
      <c r="AC52" s="492">
        <f t="shared" si="34"/>
        <v>158619628</v>
      </c>
      <c r="AD52" s="452">
        <v>740000</v>
      </c>
      <c r="AE52" s="453"/>
      <c r="AF52" s="454"/>
      <c r="AG52" s="454"/>
      <c r="AH52" s="455">
        <v>1504000</v>
      </c>
      <c r="AI52" s="456"/>
      <c r="AJ52" s="457"/>
      <c r="AK52" s="129" t="s">
        <v>806</v>
      </c>
      <c r="AL52" s="440" t="s">
        <v>425</v>
      </c>
      <c r="AM52" s="128">
        <f t="shared" si="31"/>
        <v>0</v>
      </c>
      <c r="AT52" s="25"/>
      <c r="AU52" s="752">
        <f t="shared" si="29"/>
        <v>0</v>
      </c>
      <c r="AV52" s="207" t="str">
        <f t="shared" si="33"/>
        <v>OK</v>
      </c>
      <c r="AW52" s="25"/>
    </row>
    <row r="53" spans="1:49" ht="63" customHeight="1">
      <c r="A53" s="66">
        <v>39</v>
      </c>
      <c r="B53" s="89"/>
      <c r="C53" s="93" t="s">
        <v>3</v>
      </c>
      <c r="D53" s="38" t="s">
        <v>4</v>
      </c>
      <c r="E53" s="38" t="s">
        <v>540</v>
      </c>
      <c r="F53" s="452">
        <v>28258993</v>
      </c>
      <c r="G53" s="416">
        <v>3851919</v>
      </c>
      <c r="H53" s="416"/>
      <c r="I53" s="416"/>
      <c r="J53" s="416">
        <v>24407074</v>
      </c>
      <c r="K53" s="452">
        <v>28105902</v>
      </c>
      <c r="L53" s="452"/>
      <c r="M53" s="452"/>
      <c r="N53" s="452"/>
      <c r="O53" s="452"/>
      <c r="P53" s="452">
        <v>18000</v>
      </c>
      <c r="Q53" s="453"/>
      <c r="R53" s="454"/>
      <c r="S53" s="454"/>
      <c r="T53" s="455">
        <v>18000</v>
      </c>
      <c r="U53" s="756">
        <f t="shared" si="30"/>
        <v>0</v>
      </c>
      <c r="V53" s="129" t="s">
        <v>61</v>
      </c>
      <c r="W53" s="452">
        <v>18000</v>
      </c>
      <c r="X53" s="415">
        <v>27788207</v>
      </c>
      <c r="Y53" s="416"/>
      <c r="Z53" s="416"/>
      <c r="AA53" s="416"/>
      <c r="AB53" s="416"/>
      <c r="AC53" s="492">
        <f t="shared" si="34"/>
        <v>27788207</v>
      </c>
      <c r="AD53" s="452">
        <v>9000</v>
      </c>
      <c r="AE53" s="453"/>
      <c r="AF53" s="454"/>
      <c r="AG53" s="454"/>
      <c r="AH53" s="455">
        <v>18000</v>
      </c>
      <c r="AI53" s="456"/>
      <c r="AJ53" s="457"/>
      <c r="AK53" s="129" t="s">
        <v>61</v>
      </c>
      <c r="AL53" s="440" t="s">
        <v>425</v>
      </c>
      <c r="AM53" s="128">
        <f t="shared" si="31"/>
        <v>0</v>
      </c>
      <c r="AS53" s="62"/>
      <c r="AT53" s="25"/>
      <c r="AU53" s="752">
        <f t="shared" si="29"/>
        <v>0</v>
      </c>
      <c r="AV53" s="207" t="str">
        <f t="shared" si="33"/>
        <v>OK</v>
      </c>
      <c r="AW53" s="62"/>
    </row>
    <row r="54" spans="1:49" ht="42.75" customHeight="1">
      <c r="A54" s="66">
        <v>40</v>
      </c>
      <c r="B54" s="89"/>
      <c r="C54" s="219" t="s">
        <v>676</v>
      </c>
      <c r="D54" s="51" t="s">
        <v>132</v>
      </c>
      <c r="E54" s="38" t="s">
        <v>677</v>
      </c>
      <c r="F54" s="452" t="s">
        <v>442</v>
      </c>
      <c r="G54" s="416"/>
      <c r="H54" s="416"/>
      <c r="I54" s="416"/>
      <c r="J54" s="416"/>
      <c r="K54" s="452">
        <v>100000</v>
      </c>
      <c r="L54" s="456"/>
      <c r="M54" s="456"/>
      <c r="N54" s="456"/>
      <c r="O54" s="456"/>
      <c r="P54" s="766">
        <v>100000</v>
      </c>
      <c r="Q54" s="453"/>
      <c r="R54" s="454">
        <v>100000</v>
      </c>
      <c r="S54" s="454"/>
      <c r="T54" s="455"/>
      <c r="U54" s="756">
        <f t="shared" si="30"/>
        <v>0</v>
      </c>
      <c r="V54" s="129" t="s">
        <v>47</v>
      </c>
      <c r="W54" s="454">
        <v>150000</v>
      </c>
      <c r="X54" s="415" t="s">
        <v>442</v>
      </c>
      <c r="Y54" s="416"/>
      <c r="Z54" s="416"/>
      <c r="AA54" s="416"/>
      <c r="AB54" s="416"/>
      <c r="AC54" s="492" t="e">
        <f t="shared" si="34"/>
        <v>#VALUE!</v>
      </c>
      <c r="AD54" s="452">
        <v>150000</v>
      </c>
      <c r="AE54" s="453"/>
      <c r="AF54" s="454">
        <v>150000</v>
      </c>
      <c r="AG54" s="454"/>
      <c r="AH54" s="455"/>
      <c r="AI54" s="456"/>
      <c r="AJ54" s="457"/>
      <c r="AK54" s="129" t="s">
        <v>47</v>
      </c>
      <c r="AL54" s="440" t="s">
        <v>425</v>
      </c>
      <c r="AM54" s="128">
        <f>W54-AE54-AF54-AG54-AH54</f>
        <v>0</v>
      </c>
      <c r="AS54" s="48"/>
      <c r="AT54" s="48">
        <v>100000</v>
      </c>
      <c r="AU54" s="752">
        <f t="shared" si="29"/>
        <v>100000</v>
      </c>
      <c r="AV54" s="207" t="str">
        <f t="shared" si="33"/>
        <v>OK</v>
      </c>
      <c r="AW54" s="48">
        <v>100000</v>
      </c>
    </row>
    <row r="55" spans="1:48" ht="42.75" customHeight="1">
      <c r="A55" s="66">
        <v>41</v>
      </c>
      <c r="B55" s="89"/>
      <c r="C55" s="217"/>
      <c r="D55" s="56"/>
      <c r="E55" s="38" t="s">
        <v>459</v>
      </c>
      <c r="F55" s="26">
        <v>25343647</v>
      </c>
      <c r="G55" s="416">
        <v>3856376</v>
      </c>
      <c r="H55" s="416"/>
      <c r="I55" s="416"/>
      <c r="J55" s="416">
        <v>21487271</v>
      </c>
      <c r="K55" s="26">
        <v>24984523</v>
      </c>
      <c r="L55" s="119"/>
      <c r="M55" s="119"/>
      <c r="N55" s="119"/>
      <c r="O55" s="119"/>
      <c r="P55" s="385">
        <v>140000</v>
      </c>
      <c r="Q55" s="47"/>
      <c r="R55" s="48"/>
      <c r="S55" s="48"/>
      <c r="T55" s="49">
        <v>140000</v>
      </c>
      <c r="U55" s="734">
        <f t="shared" si="30"/>
        <v>0</v>
      </c>
      <c r="V55" s="129" t="s">
        <v>728</v>
      </c>
      <c r="W55" s="66" t="s">
        <v>425</v>
      </c>
      <c r="X55" s="128" t="e">
        <f>#REF!-#REF!-#REF!-#REF!-#REF!</f>
        <v>#REF!</v>
      </c>
      <c r="AD55" s="62"/>
      <c r="AE55" s="62"/>
      <c r="AF55" s="210">
        <f>SUM(Z55:AE55)</f>
        <v>0</v>
      </c>
      <c r="AG55" s="207" t="str">
        <f>IF(R55=AF55,"OK","OUT")</f>
        <v>OK</v>
      </c>
      <c r="AH55" s="62"/>
      <c r="AK55" s="66"/>
      <c r="AL55" s="440" t="s">
        <v>425</v>
      </c>
      <c r="AM55" s="128" t="e">
        <f t="shared" si="31"/>
        <v>#VALUE!</v>
      </c>
      <c r="AS55" s="48"/>
      <c r="AT55" s="48">
        <v>100000</v>
      </c>
      <c r="AU55" s="752">
        <f>SUM(AO55:AT55)</f>
        <v>100000</v>
      </c>
      <c r="AV55" s="207" t="str">
        <f>IF(R55=AU55,"OK","OUT")</f>
        <v>OUT</v>
      </c>
    </row>
    <row r="56" spans="1:50" ht="45.75" customHeight="1">
      <c r="A56" s="66">
        <v>42</v>
      </c>
      <c r="B56" s="89"/>
      <c r="C56" s="220"/>
      <c r="D56" s="50"/>
      <c r="E56" s="38" t="s">
        <v>294</v>
      </c>
      <c r="F56" s="452">
        <v>621690</v>
      </c>
      <c r="G56" s="416"/>
      <c r="H56" s="416"/>
      <c r="I56" s="416"/>
      <c r="J56" s="416">
        <v>621690</v>
      </c>
      <c r="K56" s="452">
        <v>650880</v>
      </c>
      <c r="L56" s="452"/>
      <c r="M56" s="452"/>
      <c r="N56" s="452"/>
      <c r="O56" s="452"/>
      <c r="P56" s="452">
        <v>563533</v>
      </c>
      <c r="Q56" s="453"/>
      <c r="R56" s="454"/>
      <c r="S56" s="454"/>
      <c r="T56" s="455">
        <f>P56</f>
        <v>563533</v>
      </c>
      <c r="U56" s="756">
        <f t="shared" si="30"/>
        <v>0</v>
      </c>
      <c r="V56" s="129" t="s">
        <v>552</v>
      </c>
      <c r="W56" s="452">
        <f>1214413-F56</f>
        <v>592723</v>
      </c>
      <c r="X56" s="415">
        <v>1214413</v>
      </c>
      <c r="Y56" s="416"/>
      <c r="Z56" s="416"/>
      <c r="AA56" s="416"/>
      <c r="AB56" s="416"/>
      <c r="AC56" s="492">
        <f t="shared" si="34"/>
        <v>1214413</v>
      </c>
      <c r="AD56" s="452">
        <v>120000</v>
      </c>
      <c r="AE56" s="453"/>
      <c r="AF56" s="454"/>
      <c r="AG56" s="454"/>
      <c r="AH56" s="455">
        <v>592723</v>
      </c>
      <c r="AI56" s="456"/>
      <c r="AJ56" s="457"/>
      <c r="AK56" s="129" t="s">
        <v>489</v>
      </c>
      <c r="AL56" s="440" t="s">
        <v>425</v>
      </c>
      <c r="AM56" s="128">
        <f t="shared" si="31"/>
        <v>0</v>
      </c>
      <c r="AS56" s="62"/>
      <c r="AT56" s="62"/>
      <c r="AU56" s="752">
        <f t="shared" si="29"/>
        <v>0</v>
      </c>
      <c r="AV56" s="207" t="str">
        <f t="shared" si="33"/>
        <v>OK</v>
      </c>
      <c r="AW56" s="62"/>
      <c r="AX56" s="66" t="s">
        <v>472</v>
      </c>
    </row>
    <row r="57" spans="1:48" ht="69.75" customHeight="1" thickBot="1">
      <c r="A57" s="66">
        <v>43</v>
      </c>
      <c r="B57" s="99"/>
      <c r="C57" s="219" t="s">
        <v>424</v>
      </c>
      <c r="D57" s="38" t="s">
        <v>804</v>
      </c>
      <c r="E57" s="51" t="s">
        <v>20</v>
      </c>
      <c r="F57" s="482" t="s">
        <v>442</v>
      </c>
      <c r="G57" s="427"/>
      <c r="H57" s="427"/>
      <c r="I57" s="427"/>
      <c r="J57" s="427"/>
      <c r="K57" s="482" t="s">
        <v>442</v>
      </c>
      <c r="L57" s="482"/>
      <c r="M57" s="482"/>
      <c r="N57" s="482"/>
      <c r="O57" s="482"/>
      <c r="P57" s="482">
        <v>5000</v>
      </c>
      <c r="Q57" s="483"/>
      <c r="R57" s="484"/>
      <c r="S57" s="484"/>
      <c r="T57" s="485">
        <v>5000</v>
      </c>
      <c r="U57" s="756">
        <f t="shared" si="30"/>
        <v>0</v>
      </c>
      <c r="V57" s="145" t="s">
        <v>25</v>
      </c>
      <c r="W57" s="482">
        <v>5000</v>
      </c>
      <c r="X57" s="426" t="s">
        <v>442</v>
      </c>
      <c r="Y57" s="427"/>
      <c r="Z57" s="427"/>
      <c r="AA57" s="427"/>
      <c r="AB57" s="427"/>
      <c r="AC57" s="492" t="e">
        <f t="shared" si="34"/>
        <v>#VALUE!</v>
      </c>
      <c r="AD57" s="482">
        <v>5000</v>
      </c>
      <c r="AE57" s="483"/>
      <c r="AF57" s="484"/>
      <c r="AG57" s="484"/>
      <c r="AH57" s="485">
        <v>5000</v>
      </c>
      <c r="AI57" s="486"/>
      <c r="AJ57" s="487"/>
      <c r="AK57" s="145" t="s">
        <v>25</v>
      </c>
      <c r="AL57" s="440" t="s">
        <v>425</v>
      </c>
      <c r="AM57" s="128">
        <f t="shared" si="31"/>
        <v>0</v>
      </c>
      <c r="AU57" s="752">
        <f t="shared" si="29"/>
        <v>0</v>
      </c>
      <c r="AV57" s="207" t="str">
        <f t="shared" si="33"/>
        <v>OK</v>
      </c>
    </row>
    <row r="58" spans="2:48" ht="31.5" customHeight="1" thickBot="1">
      <c r="B58" s="95"/>
      <c r="C58" s="69"/>
      <c r="D58" s="57"/>
      <c r="E58" s="57" t="s">
        <v>403</v>
      </c>
      <c r="F58" s="467">
        <f aca="true" t="shared" si="35" ref="F58:K58">SUM(F51:F57)</f>
        <v>211018180</v>
      </c>
      <c r="G58" s="373">
        <f t="shared" si="35"/>
        <v>47794057</v>
      </c>
      <c r="H58" s="373">
        <f t="shared" si="35"/>
        <v>0</v>
      </c>
      <c r="I58" s="373">
        <f t="shared" si="35"/>
        <v>0</v>
      </c>
      <c r="J58" s="373">
        <f t="shared" si="35"/>
        <v>161213041</v>
      </c>
      <c r="K58" s="467">
        <f t="shared" si="35"/>
        <v>207059496</v>
      </c>
      <c r="L58" s="467"/>
      <c r="M58" s="467"/>
      <c r="N58" s="467"/>
      <c r="O58" s="467"/>
      <c r="P58" s="467">
        <f>SUM(P51:P57)</f>
        <v>2310270</v>
      </c>
      <c r="Q58" s="468">
        <f>SUM(Q51:Q57)</f>
        <v>0</v>
      </c>
      <c r="R58" s="464">
        <f>SUM(R51:R57)</f>
        <v>100000</v>
      </c>
      <c r="S58" s="464">
        <f>SUM(S51:S57)</f>
        <v>0</v>
      </c>
      <c r="T58" s="465">
        <f>SUM(T51:T57)</f>
        <v>2210270</v>
      </c>
      <c r="U58" s="756">
        <f t="shared" si="30"/>
        <v>0</v>
      </c>
      <c r="V58" s="144"/>
      <c r="W58" s="467">
        <f>SUM(W51:W57)</f>
        <v>2277460</v>
      </c>
      <c r="X58" s="422" t="e">
        <f>SUM(X51:X57)</f>
        <v>#REF!</v>
      </c>
      <c r="Y58" s="373"/>
      <c r="Z58" s="373"/>
      <c r="AA58" s="373"/>
      <c r="AB58" s="373"/>
      <c r="AC58" s="373"/>
      <c r="AD58" s="467">
        <f>SUM(AD51:AD57)</f>
        <v>1031762</v>
      </c>
      <c r="AE58" s="468">
        <f>SUM(AE51:AE57)</f>
        <v>0</v>
      </c>
      <c r="AF58" s="464">
        <f>SUM(AF51:AF57)</f>
        <v>150000</v>
      </c>
      <c r="AG58" s="464">
        <f>SUM(AG51:AG57)</f>
        <v>0</v>
      </c>
      <c r="AH58" s="465">
        <f>SUM(AH51:AH57)</f>
        <v>2127460</v>
      </c>
      <c r="AI58" s="466"/>
      <c r="AJ58" s="465"/>
      <c r="AK58" s="144"/>
      <c r="AL58" s="440"/>
      <c r="AM58" s="128">
        <f t="shared" si="31"/>
        <v>0</v>
      </c>
      <c r="AO58" s="59">
        <f aca="true" t="shared" si="36" ref="AO58:AT58">SUM(AO51:AO57)</f>
        <v>0</v>
      </c>
      <c r="AP58" s="59">
        <f t="shared" si="36"/>
        <v>0</v>
      </c>
      <c r="AQ58" s="59">
        <f t="shared" si="36"/>
        <v>0</v>
      </c>
      <c r="AR58" s="59">
        <f t="shared" si="36"/>
        <v>0</v>
      </c>
      <c r="AS58" s="59">
        <f t="shared" si="36"/>
        <v>0</v>
      </c>
      <c r="AT58" s="59">
        <f t="shared" si="36"/>
        <v>200000</v>
      </c>
      <c r="AU58" s="752">
        <f t="shared" si="29"/>
        <v>200000</v>
      </c>
      <c r="AV58" s="207" t="str">
        <f t="shared" si="33"/>
        <v>OUT</v>
      </c>
    </row>
    <row r="59" spans="2:49" ht="31.5" customHeight="1" thickBot="1">
      <c r="B59" s="109"/>
      <c r="C59" s="65"/>
      <c r="D59" s="65"/>
      <c r="E59" s="57" t="s">
        <v>156</v>
      </c>
      <c r="F59" s="31" t="e">
        <f>#REF!+F10+F25+F33+F35+F40+F42+F48+F50+F58+#REF!</f>
        <v>#REF!</v>
      </c>
      <c r="G59" s="376" t="e">
        <f>#REF!+G10+G25+G33+G35+G40+G42+G48+G50+G58+#REF!</f>
        <v>#REF!</v>
      </c>
      <c r="H59" s="376" t="e">
        <f>#REF!+H10+H25+H33+H35+H40+H42+H48+H50+H58+#REF!</f>
        <v>#REF!</v>
      </c>
      <c r="I59" s="376" t="e">
        <f>#REF!+I10+I25+I33+I35+I40+I42+I48+I50+I58+#REF!</f>
        <v>#REF!</v>
      </c>
      <c r="J59" s="376" t="e">
        <f>#REF!+J10+J25+J33+J35+J40+J42+J48+J50+J58+#REF!</f>
        <v>#REF!</v>
      </c>
      <c r="K59" s="31">
        <f>K10+K25+K33+K35+K40+K42+K48+K50+K58</f>
        <v>226536943</v>
      </c>
      <c r="L59" s="31">
        <f aca="true" t="shared" si="37" ref="L59:T59">L10+L25+L33+L35+L40+L42+L48+L50+L58</f>
        <v>0</v>
      </c>
      <c r="M59" s="31">
        <f t="shared" si="37"/>
        <v>0</v>
      </c>
      <c r="N59" s="31">
        <f t="shared" si="37"/>
        <v>0</v>
      </c>
      <c r="O59" s="31">
        <f t="shared" si="37"/>
        <v>0</v>
      </c>
      <c r="P59" s="31">
        <f t="shared" si="37"/>
        <v>12214497</v>
      </c>
      <c r="Q59" s="369">
        <f t="shared" si="37"/>
        <v>31481</v>
      </c>
      <c r="R59" s="111">
        <f t="shared" si="37"/>
        <v>568522</v>
      </c>
      <c r="S59" s="111">
        <f t="shared" si="37"/>
        <v>0</v>
      </c>
      <c r="T59" s="112">
        <f t="shared" si="37"/>
        <v>11614494</v>
      </c>
      <c r="U59" s="734">
        <f t="shared" si="30"/>
        <v>0</v>
      </c>
      <c r="V59" s="87"/>
      <c r="W59" s="31" t="e">
        <f>#REF!+W10+W25+W33+W35+W40+W42+W48+W50+W58+#REF!</f>
        <v>#REF!</v>
      </c>
      <c r="X59" s="375" t="e">
        <f>#REF!+X10+X25+X33+X35+X40+X42+X48+X50+X58+#REF!</f>
        <v>#REF!</v>
      </c>
      <c r="Y59" s="376"/>
      <c r="Z59" s="376"/>
      <c r="AA59" s="376"/>
      <c r="AB59" s="376"/>
      <c r="AC59" s="376"/>
      <c r="AD59" s="31" t="e">
        <f>#REF!+AD10+AD25+AD33+AD35+AD40+AD42+AD48+AD50+AD58+#REF!</f>
        <v>#REF!</v>
      </c>
      <c r="AE59" s="114" t="e">
        <f>#REF!+AE10+AE25+AE33+AE35+AE40+AE42+AE48+AE50+AE58+#REF!</f>
        <v>#REF!</v>
      </c>
      <c r="AF59" s="111" t="e">
        <f>#REF!+AF10+AF25+AF33+AF35+AF40+AF42+AF48+AF50+AF58+#REF!</f>
        <v>#REF!</v>
      </c>
      <c r="AG59" s="111" t="e">
        <f>#REF!+AG10+AG25+AG33+AG35+AG40+AG42+AG48+AG50+AG58+#REF!</f>
        <v>#REF!</v>
      </c>
      <c r="AH59" s="111" t="e">
        <f>#REF!+AH10+AH25+AH33+AH35+AH40+AH42+AH48+AH50+AH58+#REF!</f>
        <v>#REF!</v>
      </c>
      <c r="AI59" s="114"/>
      <c r="AJ59" s="112"/>
      <c r="AK59" s="87"/>
      <c r="AM59" s="128" t="e">
        <f t="shared" si="31"/>
        <v>#REF!</v>
      </c>
      <c r="AO59" s="111" t="e">
        <f>#REF!+AO10+AO25+AO33+AO35+AO40+AO42+AO48+AO50+AO58+#REF!</f>
        <v>#REF!</v>
      </c>
      <c r="AP59" s="111" t="e">
        <f>#REF!+AP10+AP25+AP33+AP35+AP40+AP42+AP48+AP50+AP58+#REF!</f>
        <v>#REF!</v>
      </c>
      <c r="AQ59" s="111" t="e">
        <f>#REF!+AQ10+AQ25+AQ33+AQ35+AQ40+AQ42+AQ48+AQ50+AQ58+#REF!</f>
        <v>#REF!</v>
      </c>
      <c r="AR59" s="111" t="e">
        <f>#REF!+AR10+AR25+AR33+AR35+AR40+AR42+AR48+AR50+AR58+#REF!</f>
        <v>#REF!</v>
      </c>
      <c r="AS59" s="111" t="e">
        <f>#REF!+AS10+AS25+AS33+AS35+AS40+AS42+AS48+AS50+AS58+#REF!</f>
        <v>#REF!</v>
      </c>
      <c r="AT59" s="111" t="e">
        <f>#REF!+AT10+AT25+AT33+AT35+AT40+AT42+AT48+AT50+AT58+#REF!</f>
        <v>#REF!</v>
      </c>
      <c r="AU59" s="111" t="e">
        <f>#REF!+AU10+AU25+AU33+AU35+AU40+AU42+AU48+AU50+AU58+#REF!</f>
        <v>#REF!</v>
      </c>
      <c r="AV59" s="207" t="e">
        <f t="shared" si="33"/>
        <v>#REF!</v>
      </c>
      <c r="AW59" s="66">
        <f>SUM(AW7:AW58)</f>
        <v>546664</v>
      </c>
    </row>
    <row r="60" spans="20:48" ht="13.5">
      <c r="T60" s="750"/>
      <c r="AV60" s="207"/>
    </row>
    <row r="61" spans="22:48" ht="13.5">
      <c r="V61" s="146"/>
      <c r="AF61" s="25"/>
      <c r="AG61" s="25"/>
      <c r="AH61" s="25"/>
      <c r="AI61" s="25"/>
      <c r="AJ61" s="25"/>
      <c r="AK61" s="146"/>
      <c r="AV61" s="207"/>
    </row>
    <row r="62" spans="22:39" ht="14.25" hidden="1" thickBot="1">
      <c r="V62" s="146"/>
      <c r="W62" s="76" t="e">
        <f>#REF!+#REF!+W15+'11年増額から外したもの'!V6+#REF!+#REF!+W16+W17+#REF!+#REF!+#REF!+'11年増額から外したもの'!V12+W30+#REF!+#REF!+#REF!+#REF!+W52</f>
        <v>#REF!</v>
      </c>
      <c r="AD62" s="76" t="e">
        <f>#REF!+#REF!+AD15+'11年増額から外したもの'!AC6+#REF!+#REF!+AD16+AD17+#REF!+#REF!+#REF!+'11年増額から外したもの'!AC12+AD30+#REF!+#REF!+#REF!+#REF!+AD52</f>
        <v>#REF!</v>
      </c>
      <c r="AE62" s="76" t="e">
        <f>#REF!+#REF!+AE15+'11年増額から外したもの'!AD6+#REF!+#REF!+AE16+AE17+#REF!+#REF!+#REF!+'11年増額から外したもの'!AD12+AE30+#REF!+#REF!+#REF!+#REF!+AE52</f>
        <v>#REF!</v>
      </c>
      <c r="AF62" s="115"/>
      <c r="AG62" s="115"/>
      <c r="AH62" s="115"/>
      <c r="AI62" s="115"/>
      <c r="AJ62" s="115"/>
      <c r="AK62" s="146"/>
      <c r="AL62" s="114" t="e">
        <f>#REF!+AL30+#REF!+#REF!+#REF!+#REF!+AL50+#REF!+AL60+AL61</f>
        <v>#REF!</v>
      </c>
      <c r="AM62" s="76" t="e">
        <f>AD62-AE62-AF62-AG62-AH62</f>
        <v>#REF!</v>
      </c>
    </row>
    <row r="63" spans="22:39" ht="13.5">
      <c r="V63" s="146"/>
      <c r="W63" s="76"/>
      <c r="AD63" s="76"/>
      <c r="AE63" s="76"/>
      <c r="AF63" s="115"/>
      <c r="AG63" s="115"/>
      <c r="AH63" s="25"/>
      <c r="AI63" s="115"/>
      <c r="AJ63" s="115"/>
      <c r="AK63" s="146"/>
      <c r="AL63" s="113"/>
      <c r="AM63" s="76"/>
    </row>
    <row r="64" spans="22:39" ht="37.5" customHeight="1">
      <c r="V64" s="146"/>
      <c r="AF64" s="115"/>
      <c r="AG64" s="25"/>
      <c r="AH64" s="25"/>
      <c r="AI64" s="25"/>
      <c r="AJ64" s="25"/>
      <c r="AK64" s="146"/>
      <c r="AM64" s="76"/>
    </row>
    <row r="65" spans="22:39" ht="13.5" hidden="1">
      <c r="V65" s="146"/>
      <c r="W65" s="76" t="e">
        <f>W59-W62</f>
        <v>#REF!</v>
      </c>
      <c r="AD65" s="76" t="e">
        <f>AD59-AD62</f>
        <v>#REF!</v>
      </c>
      <c r="AE65" s="76" t="e">
        <f>AE59-AE62</f>
        <v>#REF!</v>
      </c>
      <c r="AF65" s="115"/>
      <c r="AG65" s="115"/>
      <c r="AH65" s="115"/>
      <c r="AI65" s="115"/>
      <c r="AJ65" s="115"/>
      <c r="AK65" s="146"/>
      <c r="AM65" s="76" t="e">
        <f>AD65-AE65-AF65-AG65-AH65</f>
        <v>#REF!</v>
      </c>
    </row>
    <row r="66" spans="22:37" ht="13.5">
      <c r="V66" s="146"/>
      <c r="AF66" s="25"/>
      <c r="AG66" s="25"/>
      <c r="AH66" s="25"/>
      <c r="AI66" s="25"/>
      <c r="AJ66" s="25"/>
      <c r="AK66" s="146"/>
    </row>
    <row r="67" spans="22:37" ht="13.5">
      <c r="V67" s="146"/>
      <c r="AF67" s="25"/>
      <c r="AG67" s="25"/>
      <c r="AH67" s="755"/>
      <c r="AI67" s="25"/>
      <c r="AJ67" s="25"/>
      <c r="AK67" s="146"/>
    </row>
    <row r="68" spans="22:37" ht="13.5">
      <c r="V68" s="146"/>
      <c r="AF68" s="25"/>
      <c r="AG68" s="25"/>
      <c r="AH68" s="62"/>
      <c r="AI68" s="25"/>
      <c r="AJ68" s="25"/>
      <c r="AK68" s="146"/>
    </row>
    <row r="69" spans="22:37" ht="13.5">
      <c r="V69" s="146"/>
      <c r="AF69" s="25"/>
      <c r="AG69" s="25"/>
      <c r="AH69" s="117"/>
      <c r="AI69" s="25"/>
      <c r="AJ69" s="25"/>
      <c r="AK69" s="146"/>
    </row>
    <row r="70" spans="22:37" ht="13.5">
      <c r="V70" s="146"/>
      <c r="AF70" s="854"/>
      <c r="AG70" s="854"/>
      <c r="AH70" s="117"/>
      <c r="AI70" s="25"/>
      <c r="AJ70" s="25"/>
      <c r="AK70" s="146"/>
    </row>
  </sheetData>
  <mergeCells count="7">
    <mergeCell ref="G5:J5"/>
    <mergeCell ref="Q5:T5"/>
    <mergeCell ref="L5:O5"/>
    <mergeCell ref="X2:AE2"/>
    <mergeCell ref="AE5:AH5"/>
    <mergeCell ref="AF70:AG70"/>
    <mergeCell ref="Y5:AB5"/>
  </mergeCells>
  <printOptions/>
  <pageMargins left="0.43" right="0.1968503937007874" top="0.4330708661417323" bottom="0.4724409448818898" header="0.2362204724409449" footer="0.2362204724409449"/>
  <pageSetup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X126"/>
  <sheetViews>
    <sheetView view="pageBreakPreview" zoomScale="90" zoomScaleSheetLayoutView="90" workbookViewId="0" topLeftCell="A1">
      <pane xSplit="5" ySplit="6" topLeftCell="F79" activePane="bottomRight" state="frozen"/>
      <selection pane="topLeft" activeCell="A1" sqref="A1"/>
      <selection pane="topRight" activeCell="E1" sqref="E1"/>
      <selection pane="bottomLeft" activeCell="A7" sqref="A7"/>
      <selection pane="bottomRight" activeCell="P82" sqref="P82"/>
    </sheetView>
  </sheetViews>
  <sheetFormatPr defaultColWidth="9.00390625" defaultRowHeight="13.5"/>
  <cols>
    <col min="1" max="1" width="4.125" style="66" customWidth="1"/>
    <col min="2" max="2" width="3.00390625" style="66" customWidth="1"/>
    <col min="3" max="3" width="4.875" style="66" customWidth="1"/>
    <col min="4" max="4" width="7.50390625" style="66" customWidth="1"/>
    <col min="5" max="5" width="11.00390625" style="66" customWidth="1"/>
    <col min="6" max="6" width="11.00390625" style="66" hidden="1" customWidth="1"/>
    <col min="7" max="7" width="10.25390625" style="66" hidden="1" customWidth="1"/>
    <col min="8" max="8" width="9.25390625" style="66" hidden="1" customWidth="1"/>
    <col min="9" max="9" width="9.25390625" style="619" hidden="1" customWidth="1"/>
    <col min="10" max="10" width="13.50390625" style="619" hidden="1" customWidth="1"/>
    <col min="11" max="11" width="11.00390625" style="66" customWidth="1"/>
    <col min="12" max="15" width="11.00390625" style="66" hidden="1" customWidth="1"/>
    <col min="16" max="20" width="11.00390625" style="751" customWidth="1"/>
    <col min="21" max="21" width="12.375" style="751" customWidth="1"/>
    <col min="22" max="22" width="16.50390625" style="147" customWidth="1"/>
    <col min="23" max="36" width="16.50390625" style="66" hidden="1" customWidth="1"/>
    <col min="37" max="37" width="16.50390625" style="147" hidden="1" customWidth="1"/>
    <col min="38" max="38" width="16.50390625" style="66" customWidth="1"/>
    <col min="39" max="39" width="10.25390625" style="66" customWidth="1"/>
    <col min="40" max="40" width="3.25390625" style="66" customWidth="1"/>
    <col min="41" max="41" width="15.75390625" style="66" customWidth="1"/>
    <col min="42" max="42" width="16.125" style="66" customWidth="1"/>
    <col min="43" max="44" width="10.125" style="66" customWidth="1"/>
    <col min="45" max="45" width="15.25390625" style="66" customWidth="1"/>
    <col min="46" max="47" width="11.125" style="66" customWidth="1"/>
    <col min="48" max="48" width="18.125" style="66" customWidth="1"/>
    <col min="49" max="49" width="13.875" style="66" customWidth="1"/>
    <col min="50" max="50" width="9.375" style="66" bestFit="1" customWidth="1"/>
    <col min="51" max="16384" width="9.00390625" style="66" customWidth="1"/>
  </cols>
  <sheetData>
    <row r="1" spans="2:37" ht="26.25" customHeight="1">
      <c r="B1" s="70"/>
      <c r="C1" s="71"/>
      <c r="D1" s="72"/>
      <c r="E1" s="29"/>
      <c r="F1" s="29"/>
      <c r="G1" s="29"/>
      <c r="H1" s="29"/>
      <c r="I1" s="29"/>
      <c r="J1" s="29"/>
      <c r="K1" s="29"/>
      <c r="L1" s="29"/>
      <c r="M1" s="29"/>
      <c r="N1" s="29"/>
      <c r="O1" s="29"/>
      <c r="P1" s="731"/>
      <c r="Q1" s="749" t="s">
        <v>772</v>
      </c>
      <c r="R1" s="731"/>
      <c r="S1" s="731"/>
      <c r="T1" s="731"/>
      <c r="U1" s="731"/>
      <c r="V1" s="140"/>
      <c r="W1" s="29"/>
      <c r="X1" s="29"/>
      <c r="Y1" s="29"/>
      <c r="Z1" s="29"/>
      <c r="AA1" s="29"/>
      <c r="AB1" s="29"/>
      <c r="AC1" s="29"/>
      <c r="AD1" s="29"/>
      <c r="AE1" s="29"/>
      <c r="AF1" s="29"/>
      <c r="AG1" s="29"/>
      <c r="AH1" s="29"/>
      <c r="AI1" s="29"/>
      <c r="AJ1" s="29"/>
      <c r="AK1" s="140"/>
    </row>
    <row r="2" spans="2:37" ht="29.25" customHeight="1" thickBot="1">
      <c r="B2" s="70"/>
      <c r="C2" s="71"/>
      <c r="D2" s="72"/>
      <c r="E2" s="29"/>
      <c r="F2" s="29"/>
      <c r="G2" s="29"/>
      <c r="H2" s="29"/>
      <c r="I2" s="29"/>
      <c r="J2" s="29"/>
      <c r="K2" s="29"/>
      <c r="L2" s="29"/>
      <c r="M2" s="29"/>
      <c r="N2" s="29"/>
      <c r="O2" s="29"/>
      <c r="P2" s="731"/>
      <c r="Q2" s="749" t="s">
        <v>773</v>
      </c>
      <c r="R2" s="731"/>
      <c r="S2" s="731"/>
      <c r="T2" s="731"/>
      <c r="U2" s="731"/>
      <c r="V2" s="140" t="s">
        <v>548</v>
      </c>
      <c r="W2" s="29"/>
      <c r="X2" s="825" t="s">
        <v>7</v>
      </c>
      <c r="Y2" s="825"/>
      <c r="Z2" s="825"/>
      <c r="AA2" s="825"/>
      <c r="AB2" s="825"/>
      <c r="AC2" s="825"/>
      <c r="AD2" s="825"/>
      <c r="AE2" s="825"/>
      <c r="AF2" s="29"/>
      <c r="AG2" s="378" t="s">
        <v>246</v>
      </c>
      <c r="AH2" s="29"/>
      <c r="AI2" s="29"/>
      <c r="AJ2" s="29"/>
      <c r="AK2" s="141" t="s">
        <v>547</v>
      </c>
    </row>
    <row r="3" spans="3:37" ht="17.25" customHeight="1">
      <c r="C3" s="73"/>
      <c r="D3" s="74" t="s">
        <v>158</v>
      </c>
      <c r="E3" s="75" t="s">
        <v>607</v>
      </c>
      <c r="F3" s="75"/>
      <c r="G3" s="75"/>
      <c r="H3" s="75"/>
      <c r="I3" s="618"/>
      <c r="J3" s="618"/>
      <c r="K3" s="75"/>
      <c r="L3" s="75"/>
      <c r="M3" s="75"/>
      <c r="N3" s="75"/>
      <c r="O3" s="75"/>
      <c r="P3" s="732"/>
      <c r="Q3" s="732"/>
      <c r="R3" s="732"/>
      <c r="S3" s="732"/>
      <c r="T3" s="732"/>
      <c r="U3" s="732"/>
      <c r="V3" s="141"/>
      <c r="W3" s="76"/>
      <c r="X3" s="75"/>
      <c r="Y3" s="75"/>
      <c r="Z3" s="75"/>
      <c r="AA3" s="75"/>
      <c r="AB3" s="75"/>
      <c r="AC3" s="75"/>
      <c r="AD3" s="76"/>
      <c r="AF3" s="76"/>
      <c r="AG3" s="76"/>
      <c r="AH3" s="77" t="s">
        <v>123</v>
      </c>
      <c r="AI3" s="77"/>
      <c r="AJ3" s="77"/>
      <c r="AK3" s="141"/>
    </row>
    <row r="4" spans="3:37" ht="18.75" customHeight="1" thickBot="1">
      <c r="C4" s="73"/>
      <c r="D4" s="73"/>
      <c r="P4" s="737" t="s">
        <v>122</v>
      </c>
      <c r="V4" s="141"/>
      <c r="W4" s="78" t="s">
        <v>122</v>
      </c>
      <c r="AD4" s="78" t="s">
        <v>122</v>
      </c>
      <c r="AF4" s="79"/>
      <c r="AG4" s="378"/>
      <c r="AH4" s="80"/>
      <c r="AI4" s="81"/>
      <c r="AJ4" s="81"/>
      <c r="AK4" s="141"/>
    </row>
    <row r="5" spans="2:49" ht="21.75" customHeight="1">
      <c r="B5" s="82" t="s">
        <v>138</v>
      </c>
      <c r="C5" s="83" t="s">
        <v>301</v>
      </c>
      <c r="D5" s="84" t="s">
        <v>435</v>
      </c>
      <c r="E5" s="136" t="s">
        <v>120</v>
      </c>
      <c r="F5" s="403" t="s">
        <v>119</v>
      </c>
      <c r="G5" s="855" t="s">
        <v>172</v>
      </c>
      <c r="H5" s="855"/>
      <c r="I5" s="855"/>
      <c r="J5" s="856"/>
      <c r="K5" s="810" t="s">
        <v>119</v>
      </c>
      <c r="L5" s="859" t="s">
        <v>117</v>
      </c>
      <c r="M5" s="859"/>
      <c r="N5" s="859"/>
      <c r="O5" s="859"/>
      <c r="P5" s="738" t="s">
        <v>725</v>
      </c>
      <c r="Q5" s="857" t="s">
        <v>117</v>
      </c>
      <c r="R5" s="857"/>
      <c r="S5" s="857"/>
      <c r="T5" s="858"/>
      <c r="U5" s="735"/>
      <c r="V5" s="86" t="s">
        <v>116</v>
      </c>
      <c r="W5" s="651" t="s">
        <v>543</v>
      </c>
      <c r="X5" s="403" t="s">
        <v>119</v>
      </c>
      <c r="Y5" s="855" t="s">
        <v>720</v>
      </c>
      <c r="Z5" s="855"/>
      <c r="AA5" s="855"/>
      <c r="AB5" s="855"/>
      <c r="AC5" s="404"/>
      <c r="AD5" s="225" t="s">
        <v>542</v>
      </c>
      <c r="AE5" s="852" t="s">
        <v>545</v>
      </c>
      <c r="AF5" s="852"/>
      <c r="AG5" s="852"/>
      <c r="AH5" s="853"/>
      <c r="AI5" s="85" t="s">
        <v>763</v>
      </c>
      <c r="AJ5" s="84"/>
      <c r="AK5" s="86" t="s">
        <v>116</v>
      </c>
      <c r="AM5" s="28" t="s">
        <v>803</v>
      </c>
      <c r="AO5" s="127" t="s">
        <v>140</v>
      </c>
      <c r="AP5" s="127" t="s">
        <v>142</v>
      </c>
      <c r="AQ5" s="127" t="s">
        <v>681</v>
      </c>
      <c r="AR5" s="127" t="s">
        <v>288</v>
      </c>
      <c r="AS5" s="127" t="s">
        <v>778</v>
      </c>
      <c r="AT5" s="127" t="s">
        <v>683</v>
      </c>
      <c r="AU5" s="127"/>
      <c r="AV5" s="127" t="s">
        <v>802</v>
      </c>
      <c r="AW5" s="127" t="s">
        <v>42</v>
      </c>
    </row>
    <row r="6" spans="2:38" ht="21.75" customHeight="1" thickBot="1">
      <c r="B6" s="122"/>
      <c r="C6" s="123"/>
      <c r="D6" s="124"/>
      <c r="E6" s="137"/>
      <c r="F6" s="405" t="s">
        <v>171</v>
      </c>
      <c r="G6" s="406" t="s">
        <v>115</v>
      </c>
      <c r="H6" s="407" t="s">
        <v>114</v>
      </c>
      <c r="I6" s="620" t="s">
        <v>113</v>
      </c>
      <c r="J6" s="640" t="s">
        <v>112</v>
      </c>
      <c r="K6" s="811" t="s">
        <v>544</v>
      </c>
      <c r="L6" s="812" t="s">
        <v>115</v>
      </c>
      <c r="M6" s="813" t="s">
        <v>114</v>
      </c>
      <c r="N6" s="813" t="s">
        <v>113</v>
      </c>
      <c r="O6" s="813" t="s">
        <v>112</v>
      </c>
      <c r="P6" s="814"/>
      <c r="Q6" s="740" t="s">
        <v>115</v>
      </c>
      <c r="R6" s="741" t="s">
        <v>114</v>
      </c>
      <c r="S6" s="741" t="s">
        <v>113</v>
      </c>
      <c r="T6" s="742" t="s">
        <v>112</v>
      </c>
      <c r="U6" s="736" t="s">
        <v>661</v>
      </c>
      <c r="V6" s="87"/>
      <c r="W6" s="652"/>
      <c r="X6" s="405" t="s">
        <v>814</v>
      </c>
      <c r="Y6" s="406" t="s">
        <v>115</v>
      </c>
      <c r="Z6" s="407" t="s">
        <v>114</v>
      </c>
      <c r="AA6" s="407" t="s">
        <v>113</v>
      </c>
      <c r="AB6" s="407" t="s">
        <v>112</v>
      </c>
      <c r="AC6" s="408" t="s">
        <v>661</v>
      </c>
      <c r="AD6" s="228"/>
      <c r="AE6" s="200" t="s">
        <v>115</v>
      </c>
      <c r="AF6" s="201" t="s">
        <v>114</v>
      </c>
      <c r="AG6" s="201" t="s">
        <v>113</v>
      </c>
      <c r="AH6" s="202" t="s">
        <v>112</v>
      </c>
      <c r="AI6" s="125"/>
      <c r="AJ6" s="124"/>
      <c r="AK6" s="87"/>
      <c r="AL6" s="440"/>
    </row>
    <row r="7" spans="1:48" s="127" customFormat="1" ht="31.5" customHeight="1" thickBot="1">
      <c r="A7" s="127">
        <v>1</v>
      </c>
      <c r="B7" s="151" t="s">
        <v>65</v>
      </c>
      <c r="C7" s="148" t="s">
        <v>65</v>
      </c>
      <c r="D7" s="37" t="s">
        <v>66</v>
      </c>
      <c r="E7" s="56" t="s">
        <v>67</v>
      </c>
      <c r="F7" s="174">
        <v>15000</v>
      </c>
      <c r="G7" s="410"/>
      <c r="H7" s="410"/>
      <c r="I7" s="410"/>
      <c r="J7" s="410"/>
      <c r="K7" s="174">
        <v>23000</v>
      </c>
      <c r="L7" s="174"/>
      <c r="M7" s="174"/>
      <c r="N7" s="174"/>
      <c r="O7" s="174"/>
      <c r="P7" s="743">
        <v>-11500</v>
      </c>
      <c r="Q7" s="744"/>
      <c r="R7" s="745"/>
      <c r="S7" s="745"/>
      <c r="T7" s="746">
        <v>-11500</v>
      </c>
      <c r="U7" s="756">
        <f aca="true" t="shared" si="0" ref="U7:U30">P7-Q7-R7-S7-T7</f>
        <v>0</v>
      </c>
      <c r="V7" s="126" t="s">
        <v>608</v>
      </c>
      <c r="W7" s="174">
        <v>-7500</v>
      </c>
      <c r="X7" s="409">
        <v>20000</v>
      </c>
      <c r="Y7" s="410"/>
      <c r="Z7" s="410"/>
      <c r="AA7" s="410"/>
      <c r="AB7" s="410"/>
      <c r="AC7" s="410"/>
      <c r="AD7" s="174">
        <v>-10000</v>
      </c>
      <c r="AE7" s="629"/>
      <c r="AF7" s="163"/>
      <c r="AG7" s="163"/>
      <c r="AH7" s="164">
        <v>-7500</v>
      </c>
      <c r="AI7" s="165"/>
      <c r="AJ7" s="166"/>
      <c r="AK7" s="126" t="s">
        <v>608</v>
      </c>
      <c r="AL7" s="442" t="s">
        <v>421</v>
      </c>
      <c r="AM7" s="128">
        <f aca="true" t="shared" si="1" ref="AM7:AM30">W7-AE7-AF7-AG7-AH7</f>
        <v>0</v>
      </c>
      <c r="AU7" s="752">
        <f aca="true" t="shared" si="2" ref="AU7:AU34">SUM(AO7:AT7)</f>
        <v>0</v>
      </c>
      <c r="AV7" s="207" t="str">
        <f aca="true" t="shared" si="3" ref="AV7:AV30">IF(R7=AU7,"OK","OUT")</f>
        <v>OK</v>
      </c>
    </row>
    <row r="8" spans="2:48" s="127" customFormat="1" ht="30" customHeight="1" thickBot="1">
      <c r="B8" s="167"/>
      <c r="C8" s="69"/>
      <c r="D8" s="57"/>
      <c r="E8" s="57" t="s">
        <v>403</v>
      </c>
      <c r="F8" s="175">
        <f>SUM(F7)</f>
        <v>15000</v>
      </c>
      <c r="G8" s="412"/>
      <c r="H8" s="412"/>
      <c r="I8" s="412"/>
      <c r="J8" s="412"/>
      <c r="K8" s="175">
        <f>SUM(K7)</f>
        <v>23000</v>
      </c>
      <c r="L8" s="175"/>
      <c r="M8" s="175"/>
      <c r="N8" s="175"/>
      <c r="O8" s="175"/>
      <c r="P8" s="747">
        <f>SUM(P7)</f>
        <v>-11500</v>
      </c>
      <c r="Q8" s="748">
        <f>SUM(Q7)</f>
        <v>0</v>
      </c>
      <c r="R8" s="111">
        <f>SUM(R7)</f>
        <v>0</v>
      </c>
      <c r="S8" s="111">
        <f>SUM(S7)</f>
        <v>0</v>
      </c>
      <c r="T8" s="112">
        <f>SUM(T7)</f>
        <v>-11500</v>
      </c>
      <c r="U8" s="756">
        <f t="shared" si="0"/>
        <v>0</v>
      </c>
      <c r="V8" s="171"/>
      <c r="W8" s="175">
        <f>SUM(W7)</f>
        <v>-7500</v>
      </c>
      <c r="X8" s="411">
        <f>SUM(X7)</f>
        <v>20000</v>
      </c>
      <c r="Y8" s="412"/>
      <c r="Z8" s="412"/>
      <c r="AA8" s="412"/>
      <c r="AB8" s="412"/>
      <c r="AC8" s="412"/>
      <c r="AD8" s="175">
        <f>SUM(AD7)</f>
        <v>-10000</v>
      </c>
      <c r="AE8" s="630">
        <f>SUM(AE7)</f>
        <v>0</v>
      </c>
      <c r="AF8" s="170">
        <f>SUM(AF7)</f>
        <v>0</v>
      </c>
      <c r="AG8" s="170">
        <f>SUM(AG7)</f>
        <v>0</v>
      </c>
      <c r="AH8" s="400">
        <f>SUM(AH7)</f>
        <v>-7500</v>
      </c>
      <c r="AI8" s="172"/>
      <c r="AJ8" s="171"/>
      <c r="AK8" s="171"/>
      <c r="AL8" s="442"/>
      <c r="AM8" s="128">
        <f t="shared" si="1"/>
        <v>0</v>
      </c>
      <c r="AO8" s="175">
        <f aca="true" t="shared" si="4" ref="AO8:AT8">SUM(AO7)</f>
        <v>0</v>
      </c>
      <c r="AP8" s="175">
        <f t="shared" si="4"/>
        <v>0</v>
      </c>
      <c r="AQ8" s="175">
        <f t="shared" si="4"/>
        <v>0</v>
      </c>
      <c r="AR8" s="175">
        <f t="shared" si="4"/>
        <v>0</v>
      </c>
      <c r="AS8" s="175">
        <f t="shared" si="4"/>
        <v>0</v>
      </c>
      <c r="AT8" s="175">
        <f t="shared" si="4"/>
        <v>0</v>
      </c>
      <c r="AU8" s="752">
        <f t="shared" si="2"/>
        <v>0</v>
      </c>
      <c r="AV8" s="207" t="str">
        <f t="shared" si="3"/>
        <v>OK</v>
      </c>
    </row>
    <row r="9" spans="1:48" ht="38.25" customHeight="1">
      <c r="A9" s="66">
        <v>2</v>
      </c>
      <c r="B9" s="151" t="s">
        <v>11</v>
      </c>
      <c r="C9" s="158" t="s">
        <v>717</v>
      </c>
      <c r="D9" s="50" t="s">
        <v>718</v>
      </c>
      <c r="E9" s="50"/>
      <c r="F9" s="445">
        <v>677094</v>
      </c>
      <c r="G9" s="414"/>
      <c r="H9" s="414">
        <v>122363</v>
      </c>
      <c r="I9" s="414"/>
      <c r="J9" s="414">
        <v>554731</v>
      </c>
      <c r="K9" s="445">
        <v>641079</v>
      </c>
      <c r="L9" s="445"/>
      <c r="M9" s="445">
        <v>96283</v>
      </c>
      <c r="N9" s="445"/>
      <c r="O9" s="445">
        <v>544796</v>
      </c>
      <c r="P9" s="445">
        <v>-128216</v>
      </c>
      <c r="Q9" s="446"/>
      <c r="R9" s="447">
        <v>-19257</v>
      </c>
      <c r="S9" s="447"/>
      <c r="T9" s="448">
        <v>-108959</v>
      </c>
      <c r="U9" s="756">
        <f t="shared" si="0"/>
        <v>0</v>
      </c>
      <c r="V9" s="142" t="s">
        <v>729</v>
      </c>
      <c r="W9" s="445">
        <v>-135419</v>
      </c>
      <c r="X9" s="413">
        <v>705223</v>
      </c>
      <c r="Y9" s="414"/>
      <c r="Z9" s="414">
        <v>122086</v>
      </c>
      <c r="AA9" s="414"/>
      <c r="AB9" s="414">
        <v>583137</v>
      </c>
      <c r="AC9" s="414"/>
      <c r="AD9" s="445">
        <v>-141044</v>
      </c>
      <c r="AE9" s="446"/>
      <c r="AF9" s="447">
        <v>-24473</v>
      </c>
      <c r="AG9" s="447"/>
      <c r="AH9" s="448">
        <v>-110946</v>
      </c>
      <c r="AI9" s="449"/>
      <c r="AJ9" s="448"/>
      <c r="AK9" s="142" t="s">
        <v>729</v>
      </c>
      <c r="AL9" s="440" t="s">
        <v>421</v>
      </c>
      <c r="AM9" s="128">
        <f t="shared" si="1"/>
        <v>0</v>
      </c>
      <c r="AT9" s="35">
        <v>-19257</v>
      </c>
      <c r="AU9" s="752">
        <f t="shared" si="2"/>
        <v>-19257</v>
      </c>
      <c r="AV9" s="207" t="str">
        <f t="shared" si="3"/>
        <v>OK</v>
      </c>
    </row>
    <row r="10" spans="1:48" ht="46.5" customHeight="1">
      <c r="A10" s="66">
        <v>3</v>
      </c>
      <c r="B10" s="434"/>
      <c r="C10" s="94" t="s">
        <v>159</v>
      </c>
      <c r="D10" s="51" t="s">
        <v>693</v>
      </c>
      <c r="E10" s="50" t="s">
        <v>694</v>
      </c>
      <c r="F10" s="445">
        <v>1505038</v>
      </c>
      <c r="G10" s="414"/>
      <c r="H10" s="414">
        <v>6255</v>
      </c>
      <c r="I10" s="414"/>
      <c r="J10" s="414">
        <v>1498783</v>
      </c>
      <c r="K10" s="445">
        <v>2593064</v>
      </c>
      <c r="L10" s="445"/>
      <c r="M10" s="445">
        <v>7064</v>
      </c>
      <c r="N10" s="445"/>
      <c r="O10" s="445">
        <v>2586000</v>
      </c>
      <c r="P10" s="445">
        <v>-745065</v>
      </c>
      <c r="Q10" s="446"/>
      <c r="R10" s="447"/>
      <c r="S10" s="447"/>
      <c r="T10" s="450">
        <v>-745065</v>
      </c>
      <c r="U10" s="756">
        <f t="shared" si="0"/>
        <v>0</v>
      </c>
      <c r="V10" s="142" t="s">
        <v>549</v>
      </c>
      <c r="W10" s="445">
        <v>-1098030</v>
      </c>
      <c r="X10" s="413">
        <v>1754628</v>
      </c>
      <c r="Y10" s="414"/>
      <c r="Z10" s="414">
        <v>12628</v>
      </c>
      <c r="AA10" s="414"/>
      <c r="AB10" s="414">
        <v>1742000</v>
      </c>
      <c r="AC10" s="414"/>
      <c r="AD10" s="445">
        <v>-877314</v>
      </c>
      <c r="AE10" s="446"/>
      <c r="AF10" s="447"/>
      <c r="AG10" s="447"/>
      <c r="AH10" s="450">
        <v>-1098030</v>
      </c>
      <c r="AI10" s="449"/>
      <c r="AJ10" s="448"/>
      <c r="AK10" s="142" t="s">
        <v>173</v>
      </c>
      <c r="AL10" s="440" t="s">
        <v>421</v>
      </c>
      <c r="AM10" s="128">
        <f t="shared" si="1"/>
        <v>0</v>
      </c>
      <c r="AU10" s="752">
        <f t="shared" si="2"/>
        <v>0</v>
      </c>
      <c r="AV10" s="207" t="str">
        <f t="shared" si="3"/>
        <v>OK</v>
      </c>
    </row>
    <row r="11" spans="1:48" ht="31.5" customHeight="1">
      <c r="A11" s="66">
        <v>4</v>
      </c>
      <c r="B11" s="434"/>
      <c r="C11" s="90" t="s">
        <v>100</v>
      </c>
      <c r="D11" s="51" t="s">
        <v>99</v>
      </c>
      <c r="E11" s="50" t="s">
        <v>860</v>
      </c>
      <c r="F11" s="445">
        <v>44246</v>
      </c>
      <c r="G11" s="414"/>
      <c r="H11" s="414"/>
      <c r="I11" s="414"/>
      <c r="J11" s="414">
        <v>44246</v>
      </c>
      <c r="K11" s="445">
        <v>30000</v>
      </c>
      <c r="L11" s="445"/>
      <c r="M11" s="445"/>
      <c r="N11" s="445"/>
      <c r="O11" s="445"/>
      <c r="P11" s="445">
        <v>-30000</v>
      </c>
      <c r="Q11" s="446"/>
      <c r="R11" s="447"/>
      <c r="S11" s="447"/>
      <c r="T11" s="450">
        <v>-30000</v>
      </c>
      <c r="U11" s="756">
        <f t="shared" si="0"/>
        <v>0</v>
      </c>
      <c r="V11" s="142" t="s">
        <v>731</v>
      </c>
      <c r="W11" s="445">
        <v>-44246</v>
      </c>
      <c r="X11" s="413">
        <v>44246</v>
      </c>
      <c r="Y11" s="414"/>
      <c r="Z11" s="414"/>
      <c r="AA11" s="414"/>
      <c r="AB11" s="414"/>
      <c r="AC11" s="414"/>
      <c r="AD11" s="445">
        <v>-44246</v>
      </c>
      <c r="AE11" s="446"/>
      <c r="AF11" s="447"/>
      <c r="AG11" s="447"/>
      <c r="AH11" s="450">
        <v>-44246</v>
      </c>
      <c r="AI11" s="154" t="s">
        <v>731</v>
      </c>
      <c r="AJ11" s="448"/>
      <c r="AK11" s="142" t="s">
        <v>731</v>
      </c>
      <c r="AL11" s="440" t="s">
        <v>421</v>
      </c>
      <c r="AM11" s="128">
        <f t="shared" si="1"/>
        <v>0</v>
      </c>
      <c r="AU11" s="752">
        <f t="shared" si="2"/>
        <v>0</v>
      </c>
      <c r="AV11" s="207" t="str">
        <f t="shared" si="3"/>
        <v>OK</v>
      </c>
    </row>
    <row r="12" spans="1:49" ht="43.5" customHeight="1">
      <c r="A12" s="66">
        <v>5</v>
      </c>
      <c r="B12" s="89"/>
      <c r="C12" s="91"/>
      <c r="D12" s="56"/>
      <c r="E12" s="50" t="s">
        <v>111</v>
      </c>
      <c r="F12" s="445">
        <v>63983</v>
      </c>
      <c r="G12" s="414"/>
      <c r="H12" s="414">
        <v>8787</v>
      </c>
      <c r="I12" s="414"/>
      <c r="J12" s="414">
        <f>F12-H12</f>
        <v>55196</v>
      </c>
      <c r="K12" s="445">
        <v>63414</v>
      </c>
      <c r="L12" s="445"/>
      <c r="M12" s="445"/>
      <c r="N12" s="445"/>
      <c r="O12" s="445"/>
      <c r="P12" s="445">
        <v>-63414</v>
      </c>
      <c r="Q12" s="446"/>
      <c r="R12" s="447">
        <v>-9009</v>
      </c>
      <c r="S12" s="447"/>
      <c r="T12" s="450">
        <v>-54405</v>
      </c>
      <c r="U12" s="756">
        <f t="shared" si="0"/>
        <v>0</v>
      </c>
      <c r="V12" s="142" t="s">
        <v>755</v>
      </c>
      <c r="W12" s="445">
        <v>-63983</v>
      </c>
      <c r="X12" s="413">
        <v>65239</v>
      </c>
      <c r="Y12" s="414"/>
      <c r="Z12" s="414"/>
      <c r="AA12" s="414"/>
      <c r="AB12" s="414"/>
      <c r="AC12" s="414"/>
      <c r="AD12" s="445">
        <v>-65239</v>
      </c>
      <c r="AE12" s="446"/>
      <c r="AF12" s="447">
        <v>-8787</v>
      </c>
      <c r="AG12" s="447"/>
      <c r="AH12" s="450">
        <v>-55196</v>
      </c>
      <c r="AI12" s="154" t="s">
        <v>69</v>
      </c>
      <c r="AJ12" s="448"/>
      <c r="AK12" s="142" t="s">
        <v>755</v>
      </c>
      <c r="AL12" s="440" t="s">
        <v>421</v>
      </c>
      <c r="AM12" s="128">
        <f t="shared" si="1"/>
        <v>0</v>
      </c>
      <c r="AT12" s="35">
        <v>-9009</v>
      </c>
      <c r="AU12" s="752">
        <f t="shared" si="2"/>
        <v>-9009</v>
      </c>
      <c r="AV12" s="207" t="str">
        <f t="shared" si="3"/>
        <v>OK</v>
      </c>
      <c r="AW12" s="35">
        <v>-9009</v>
      </c>
    </row>
    <row r="13" spans="1:48" ht="39.75" customHeight="1">
      <c r="A13" s="66">
        <v>6</v>
      </c>
      <c r="B13" s="89"/>
      <c r="C13" s="91"/>
      <c r="D13" s="56"/>
      <c r="E13" s="50" t="s">
        <v>418</v>
      </c>
      <c r="F13" s="445">
        <v>123595</v>
      </c>
      <c r="G13" s="414"/>
      <c r="H13" s="414"/>
      <c r="I13" s="414"/>
      <c r="J13" s="414">
        <v>123595</v>
      </c>
      <c r="K13" s="445">
        <v>115463</v>
      </c>
      <c r="L13" s="445"/>
      <c r="M13" s="445"/>
      <c r="N13" s="445"/>
      <c r="O13" s="445"/>
      <c r="P13" s="445">
        <v>-115463</v>
      </c>
      <c r="Q13" s="446"/>
      <c r="R13" s="447"/>
      <c r="S13" s="447"/>
      <c r="T13" s="450">
        <v>-115463</v>
      </c>
      <c r="U13" s="756">
        <f t="shared" si="0"/>
        <v>0</v>
      </c>
      <c r="V13" s="142" t="s">
        <v>692</v>
      </c>
      <c r="W13" s="445">
        <v>-123595</v>
      </c>
      <c r="X13" s="413">
        <v>124534</v>
      </c>
      <c r="Y13" s="414"/>
      <c r="Z13" s="414"/>
      <c r="AA13" s="414"/>
      <c r="AB13" s="414"/>
      <c r="AC13" s="414"/>
      <c r="AD13" s="445">
        <v>-124534</v>
      </c>
      <c r="AE13" s="446"/>
      <c r="AF13" s="447"/>
      <c r="AG13" s="447"/>
      <c r="AH13" s="450">
        <v>-123595</v>
      </c>
      <c r="AI13" s="154" t="s">
        <v>692</v>
      </c>
      <c r="AJ13" s="448"/>
      <c r="AK13" s="142" t="s">
        <v>692</v>
      </c>
      <c r="AL13" s="440" t="s">
        <v>421</v>
      </c>
      <c r="AM13" s="128">
        <f t="shared" si="1"/>
        <v>0</v>
      </c>
      <c r="AT13" s="62"/>
      <c r="AU13" s="752">
        <f t="shared" si="2"/>
        <v>0</v>
      </c>
      <c r="AV13" s="207" t="str">
        <f t="shared" si="3"/>
        <v>OK</v>
      </c>
    </row>
    <row r="14" spans="1:48" ht="45" customHeight="1">
      <c r="A14" s="66">
        <v>7</v>
      </c>
      <c r="B14" s="89"/>
      <c r="C14" s="91"/>
      <c r="D14" s="56"/>
      <c r="E14" s="50" t="s">
        <v>861</v>
      </c>
      <c r="F14" s="445">
        <v>61458</v>
      </c>
      <c r="G14" s="414"/>
      <c r="H14" s="414"/>
      <c r="I14" s="414"/>
      <c r="J14" s="414">
        <v>61458</v>
      </c>
      <c r="K14" s="757">
        <v>60316</v>
      </c>
      <c r="L14" s="445"/>
      <c r="M14" s="445"/>
      <c r="N14" s="445"/>
      <c r="O14" s="445"/>
      <c r="P14" s="445">
        <v>-60316</v>
      </c>
      <c r="Q14" s="446"/>
      <c r="R14" s="447"/>
      <c r="S14" s="447"/>
      <c r="T14" s="450">
        <v>-60316</v>
      </c>
      <c r="U14" s="756">
        <f t="shared" si="0"/>
        <v>0</v>
      </c>
      <c r="V14" s="142" t="s">
        <v>692</v>
      </c>
      <c r="W14" s="445">
        <v>-61458</v>
      </c>
      <c r="X14" s="413">
        <v>62073</v>
      </c>
      <c r="Y14" s="414"/>
      <c r="Z14" s="414"/>
      <c r="AA14" s="414"/>
      <c r="AB14" s="414"/>
      <c r="AC14" s="414"/>
      <c r="AD14" s="445">
        <v>-62073</v>
      </c>
      <c r="AE14" s="446"/>
      <c r="AF14" s="447"/>
      <c r="AG14" s="447"/>
      <c r="AH14" s="450">
        <v>-61458</v>
      </c>
      <c r="AI14" s="154" t="s">
        <v>692</v>
      </c>
      <c r="AJ14" s="448"/>
      <c r="AK14" s="142" t="s">
        <v>692</v>
      </c>
      <c r="AL14" s="440" t="s">
        <v>421</v>
      </c>
      <c r="AM14" s="128">
        <f t="shared" si="1"/>
        <v>0</v>
      </c>
      <c r="AU14" s="752">
        <f t="shared" si="2"/>
        <v>0</v>
      </c>
      <c r="AV14" s="207" t="str">
        <f t="shared" si="3"/>
        <v>OK</v>
      </c>
    </row>
    <row r="15" spans="1:48" ht="31.5" customHeight="1">
      <c r="A15" s="66">
        <v>8</v>
      </c>
      <c r="B15" s="89"/>
      <c r="C15" s="92"/>
      <c r="D15" s="50"/>
      <c r="E15" s="50" t="s">
        <v>730</v>
      </c>
      <c r="F15" s="445">
        <v>352256</v>
      </c>
      <c r="G15" s="414"/>
      <c r="H15" s="414"/>
      <c r="I15" s="414"/>
      <c r="J15" s="414">
        <v>352256</v>
      </c>
      <c r="K15" s="445">
        <v>435841</v>
      </c>
      <c r="L15" s="445"/>
      <c r="M15" s="445"/>
      <c r="N15" s="445"/>
      <c r="O15" s="445"/>
      <c r="P15" s="445">
        <v>-435841</v>
      </c>
      <c r="Q15" s="446"/>
      <c r="R15" s="447"/>
      <c r="S15" s="447"/>
      <c r="T15" s="450">
        <v>-435841</v>
      </c>
      <c r="U15" s="756">
        <f t="shared" si="0"/>
        <v>0</v>
      </c>
      <c r="V15" s="142" t="s">
        <v>692</v>
      </c>
      <c r="W15" s="445">
        <v>-352256</v>
      </c>
      <c r="X15" s="413">
        <v>356121</v>
      </c>
      <c r="Y15" s="414"/>
      <c r="Z15" s="414"/>
      <c r="AA15" s="414"/>
      <c r="AB15" s="414"/>
      <c r="AC15" s="414"/>
      <c r="AD15" s="445">
        <v>-356121</v>
      </c>
      <c r="AE15" s="446"/>
      <c r="AF15" s="447"/>
      <c r="AG15" s="447"/>
      <c r="AH15" s="450">
        <v>-352256</v>
      </c>
      <c r="AI15" s="154" t="s">
        <v>692</v>
      </c>
      <c r="AJ15" s="448"/>
      <c r="AK15" s="142" t="s">
        <v>692</v>
      </c>
      <c r="AL15" s="440" t="s">
        <v>421</v>
      </c>
      <c r="AM15" s="128">
        <f t="shared" si="1"/>
        <v>0</v>
      </c>
      <c r="AU15" s="752">
        <f t="shared" si="2"/>
        <v>0</v>
      </c>
      <c r="AV15" s="207" t="str">
        <f t="shared" si="3"/>
        <v>OK</v>
      </c>
    </row>
    <row r="16" spans="1:49" ht="46.5" customHeight="1">
      <c r="A16" s="66">
        <v>9</v>
      </c>
      <c r="B16" s="89"/>
      <c r="C16" s="93" t="s">
        <v>110</v>
      </c>
      <c r="D16" s="50" t="s">
        <v>109</v>
      </c>
      <c r="E16" s="50" t="s">
        <v>695</v>
      </c>
      <c r="F16" s="445">
        <v>673000</v>
      </c>
      <c r="G16" s="414"/>
      <c r="H16" s="414">
        <v>673000</v>
      </c>
      <c r="I16" s="414"/>
      <c r="J16" s="414"/>
      <c r="K16" s="445">
        <v>533000</v>
      </c>
      <c r="L16" s="445"/>
      <c r="M16" s="445"/>
      <c r="N16" s="445"/>
      <c r="O16" s="445"/>
      <c r="P16" s="445">
        <v>-533000</v>
      </c>
      <c r="Q16" s="446"/>
      <c r="R16" s="447">
        <v>-533000</v>
      </c>
      <c r="S16" s="447"/>
      <c r="T16" s="450"/>
      <c r="U16" s="756">
        <f t="shared" si="0"/>
        <v>0</v>
      </c>
      <c r="V16" s="142" t="s">
        <v>756</v>
      </c>
      <c r="W16" s="445">
        <v>-673000</v>
      </c>
      <c r="X16" s="413">
        <v>1041000</v>
      </c>
      <c r="Y16" s="414"/>
      <c r="Z16" s="414"/>
      <c r="AA16" s="414"/>
      <c r="AB16" s="414"/>
      <c r="AC16" s="414"/>
      <c r="AD16" s="445">
        <v>-1041000</v>
      </c>
      <c r="AE16" s="446"/>
      <c r="AF16" s="447">
        <v>-673000</v>
      </c>
      <c r="AG16" s="447"/>
      <c r="AH16" s="450"/>
      <c r="AI16" s="154" t="s">
        <v>68</v>
      </c>
      <c r="AJ16" s="448"/>
      <c r="AK16" s="142" t="s">
        <v>756</v>
      </c>
      <c r="AL16" s="440" t="s">
        <v>421</v>
      </c>
      <c r="AM16" s="128">
        <f t="shared" si="1"/>
        <v>0</v>
      </c>
      <c r="AT16" s="35">
        <v>-533000</v>
      </c>
      <c r="AU16" s="752">
        <f t="shared" si="2"/>
        <v>-533000</v>
      </c>
      <c r="AV16" s="207" t="str">
        <f t="shared" si="3"/>
        <v>OK</v>
      </c>
      <c r="AW16" s="35">
        <v>-533000</v>
      </c>
    </row>
    <row r="17" spans="1:48" ht="45.75" customHeight="1">
      <c r="A17" s="66">
        <v>10</v>
      </c>
      <c r="B17" s="89"/>
      <c r="C17" s="90" t="s">
        <v>108</v>
      </c>
      <c r="D17" s="38" t="s">
        <v>107</v>
      </c>
      <c r="E17" s="50" t="s">
        <v>105</v>
      </c>
      <c r="F17" s="445">
        <v>208776</v>
      </c>
      <c r="G17" s="414"/>
      <c r="H17" s="414">
        <v>43850</v>
      </c>
      <c r="I17" s="414"/>
      <c r="J17" s="414">
        <f>F17-H17</f>
        <v>164926</v>
      </c>
      <c r="K17" s="445">
        <v>188449</v>
      </c>
      <c r="L17" s="445"/>
      <c r="M17" s="445"/>
      <c r="N17" s="445"/>
      <c r="O17" s="445"/>
      <c r="P17" s="445">
        <v>-94225</v>
      </c>
      <c r="Q17" s="446"/>
      <c r="R17" s="447">
        <v>-21858</v>
      </c>
      <c r="S17" s="447"/>
      <c r="T17" s="448">
        <v>-72367</v>
      </c>
      <c r="U17" s="756">
        <f t="shared" si="0"/>
        <v>0</v>
      </c>
      <c r="V17" s="142" t="s">
        <v>809</v>
      </c>
      <c r="W17" s="445">
        <v>-104388</v>
      </c>
      <c r="X17" s="413">
        <v>221961</v>
      </c>
      <c r="Y17" s="414"/>
      <c r="Z17" s="414">
        <v>44139</v>
      </c>
      <c r="AA17" s="414"/>
      <c r="AB17" s="414">
        <v>177822</v>
      </c>
      <c r="AC17" s="414"/>
      <c r="AD17" s="445">
        <v>-110981</v>
      </c>
      <c r="AE17" s="446"/>
      <c r="AF17" s="447">
        <v>-21925</v>
      </c>
      <c r="AG17" s="447"/>
      <c r="AH17" s="448">
        <v>-82463</v>
      </c>
      <c r="AI17" s="449"/>
      <c r="AJ17" s="448"/>
      <c r="AK17" s="142" t="s">
        <v>809</v>
      </c>
      <c r="AL17" s="440" t="s">
        <v>421</v>
      </c>
      <c r="AM17" s="128">
        <f t="shared" si="1"/>
        <v>0</v>
      </c>
      <c r="AS17" s="35">
        <v>-21858</v>
      </c>
      <c r="AU17" s="752">
        <f t="shared" si="2"/>
        <v>-21858</v>
      </c>
      <c r="AV17" s="207" t="str">
        <f t="shared" si="3"/>
        <v>OK</v>
      </c>
    </row>
    <row r="18" spans="1:48" ht="31.5" customHeight="1">
      <c r="A18" s="66">
        <v>11</v>
      </c>
      <c r="B18" s="89"/>
      <c r="C18" s="93" t="s">
        <v>104</v>
      </c>
      <c r="D18" s="50" t="s">
        <v>101</v>
      </c>
      <c r="E18" s="50"/>
      <c r="F18" s="445">
        <v>1050</v>
      </c>
      <c r="G18" s="414">
        <v>1050</v>
      </c>
      <c r="H18" s="414"/>
      <c r="I18" s="414"/>
      <c r="J18" s="414"/>
      <c r="K18" s="445">
        <v>1034</v>
      </c>
      <c r="L18" s="445"/>
      <c r="M18" s="445"/>
      <c r="N18" s="445"/>
      <c r="O18" s="445"/>
      <c r="P18" s="445">
        <v>-1034</v>
      </c>
      <c r="Q18" s="446">
        <v>-1034</v>
      </c>
      <c r="R18" s="447"/>
      <c r="S18" s="447"/>
      <c r="T18" s="450"/>
      <c r="U18" s="756">
        <f t="shared" si="0"/>
        <v>0</v>
      </c>
      <c r="V18" s="142"/>
      <c r="W18" s="445">
        <v>-1050</v>
      </c>
      <c r="X18" s="413">
        <v>1223</v>
      </c>
      <c r="Y18" s="414"/>
      <c r="Z18" s="414"/>
      <c r="AA18" s="414"/>
      <c r="AB18" s="414"/>
      <c r="AC18" s="414"/>
      <c r="AD18" s="445">
        <v>-1223</v>
      </c>
      <c r="AE18" s="446">
        <v>-1050</v>
      </c>
      <c r="AF18" s="447"/>
      <c r="AG18" s="447"/>
      <c r="AH18" s="450"/>
      <c r="AI18" s="449"/>
      <c r="AJ18" s="448"/>
      <c r="AK18" s="142"/>
      <c r="AL18" s="440" t="s">
        <v>421</v>
      </c>
      <c r="AM18" s="128">
        <f t="shared" si="1"/>
        <v>0</v>
      </c>
      <c r="AU18" s="752">
        <f t="shared" si="2"/>
        <v>0</v>
      </c>
      <c r="AV18" s="207" t="str">
        <f t="shared" si="3"/>
        <v>OK</v>
      </c>
    </row>
    <row r="19" spans="1:48" ht="56.25" customHeight="1">
      <c r="A19" s="66">
        <v>12</v>
      </c>
      <c r="B19" s="89"/>
      <c r="C19" s="90" t="s">
        <v>388</v>
      </c>
      <c r="D19" s="56" t="s">
        <v>8</v>
      </c>
      <c r="E19" s="50" t="s">
        <v>9</v>
      </c>
      <c r="F19" s="445">
        <v>4517502</v>
      </c>
      <c r="G19" s="414"/>
      <c r="H19" s="414"/>
      <c r="I19" s="414"/>
      <c r="J19" s="414">
        <v>4517502</v>
      </c>
      <c r="K19" s="445">
        <v>3964869</v>
      </c>
      <c r="L19" s="445"/>
      <c r="M19" s="445"/>
      <c r="N19" s="445"/>
      <c r="O19" s="445"/>
      <c r="P19" s="445">
        <v>-6000</v>
      </c>
      <c r="Q19" s="446"/>
      <c r="R19" s="447"/>
      <c r="S19" s="447"/>
      <c r="T19" s="450">
        <v>-6000</v>
      </c>
      <c r="U19" s="756">
        <f t="shared" si="0"/>
        <v>0</v>
      </c>
      <c r="V19" s="142" t="s">
        <v>93</v>
      </c>
      <c r="W19" s="445">
        <v>-6000</v>
      </c>
      <c r="X19" s="413">
        <v>5380741</v>
      </c>
      <c r="Y19" s="414"/>
      <c r="Z19" s="414"/>
      <c r="AA19" s="414"/>
      <c r="AB19" s="414"/>
      <c r="AC19" s="414"/>
      <c r="AD19" s="445">
        <v>-6000</v>
      </c>
      <c r="AE19" s="446"/>
      <c r="AF19" s="447"/>
      <c r="AG19" s="447"/>
      <c r="AH19" s="450">
        <v>-6000</v>
      </c>
      <c r="AI19" s="449"/>
      <c r="AJ19" s="448"/>
      <c r="AK19" s="142" t="s">
        <v>176</v>
      </c>
      <c r="AL19" s="440" t="s">
        <v>421</v>
      </c>
      <c r="AM19" s="128">
        <f t="shared" si="1"/>
        <v>0</v>
      </c>
      <c r="AU19" s="752">
        <f t="shared" si="2"/>
        <v>0</v>
      </c>
      <c r="AV19" s="207" t="str">
        <f t="shared" si="3"/>
        <v>OK</v>
      </c>
    </row>
    <row r="20" spans="1:48" ht="34.5" customHeight="1">
      <c r="A20" s="66">
        <v>13</v>
      </c>
      <c r="B20" s="89"/>
      <c r="C20" s="91"/>
      <c r="D20" s="51" t="s">
        <v>389</v>
      </c>
      <c r="E20" s="38" t="s">
        <v>390</v>
      </c>
      <c r="F20" s="445">
        <v>3000</v>
      </c>
      <c r="G20" s="414"/>
      <c r="H20" s="414"/>
      <c r="I20" s="414"/>
      <c r="J20" s="414">
        <v>3000</v>
      </c>
      <c r="K20" s="445">
        <v>2622</v>
      </c>
      <c r="L20" s="445"/>
      <c r="M20" s="445"/>
      <c r="N20" s="445"/>
      <c r="O20" s="445"/>
      <c r="P20" s="445">
        <v>-2622</v>
      </c>
      <c r="Q20" s="446"/>
      <c r="R20" s="447"/>
      <c r="S20" s="447"/>
      <c r="T20" s="450">
        <v>-2622</v>
      </c>
      <c r="U20" s="756">
        <f t="shared" si="0"/>
        <v>0</v>
      </c>
      <c r="V20" s="142"/>
      <c r="W20" s="445">
        <v>-3000</v>
      </c>
      <c r="X20" s="413">
        <v>2975</v>
      </c>
      <c r="Y20" s="414"/>
      <c r="Z20" s="414"/>
      <c r="AA20" s="414"/>
      <c r="AB20" s="414"/>
      <c r="AC20" s="414"/>
      <c r="AD20" s="445">
        <v>-2975</v>
      </c>
      <c r="AE20" s="446"/>
      <c r="AF20" s="447"/>
      <c r="AG20" s="447"/>
      <c r="AH20" s="450">
        <v>-3000</v>
      </c>
      <c r="AI20" s="449"/>
      <c r="AJ20" s="448"/>
      <c r="AK20" s="142"/>
      <c r="AL20" s="440" t="s">
        <v>421</v>
      </c>
      <c r="AM20" s="128">
        <f t="shared" si="1"/>
        <v>0</v>
      </c>
      <c r="AU20" s="752">
        <f t="shared" si="2"/>
        <v>0</v>
      </c>
      <c r="AV20" s="207" t="str">
        <f t="shared" si="3"/>
        <v>OK</v>
      </c>
    </row>
    <row r="21" spans="1:48" ht="31.5" customHeight="1">
      <c r="A21" s="66">
        <v>14</v>
      </c>
      <c r="B21" s="89"/>
      <c r="C21" s="90" t="s">
        <v>70</v>
      </c>
      <c r="D21" s="51" t="s">
        <v>71</v>
      </c>
      <c r="E21" s="38" t="s">
        <v>550</v>
      </c>
      <c r="F21" s="445">
        <v>3592</v>
      </c>
      <c r="G21" s="414"/>
      <c r="H21" s="414"/>
      <c r="I21" s="414"/>
      <c r="J21" s="414">
        <v>3592</v>
      </c>
      <c r="K21" s="445">
        <v>115922</v>
      </c>
      <c r="L21" s="445"/>
      <c r="M21" s="445"/>
      <c r="N21" s="445"/>
      <c r="O21" s="445"/>
      <c r="P21" s="445">
        <v>-115922</v>
      </c>
      <c r="Q21" s="446"/>
      <c r="R21" s="447"/>
      <c r="S21" s="447"/>
      <c r="T21" s="450">
        <v>-115922</v>
      </c>
      <c r="U21" s="756">
        <f t="shared" si="0"/>
        <v>0</v>
      </c>
      <c r="V21" s="38" t="s">
        <v>238</v>
      </c>
      <c r="W21" s="445">
        <v>-3592</v>
      </c>
      <c r="X21" s="413">
        <v>3592</v>
      </c>
      <c r="Y21" s="414"/>
      <c r="Z21" s="414"/>
      <c r="AA21" s="414"/>
      <c r="AB21" s="414"/>
      <c r="AC21" s="414"/>
      <c r="AD21" s="445">
        <v>-3592</v>
      </c>
      <c r="AE21" s="446"/>
      <c r="AF21" s="447"/>
      <c r="AG21" s="447"/>
      <c r="AH21" s="450">
        <v>-3592</v>
      </c>
      <c r="AI21" s="154"/>
      <c r="AJ21" s="448"/>
      <c r="AK21" s="38" t="s">
        <v>238</v>
      </c>
      <c r="AL21" s="440" t="s">
        <v>421</v>
      </c>
      <c r="AM21" s="128">
        <f t="shared" si="1"/>
        <v>0</v>
      </c>
      <c r="AT21" s="76"/>
      <c r="AU21" s="752">
        <f t="shared" si="2"/>
        <v>0</v>
      </c>
      <c r="AV21" s="207" t="str">
        <f t="shared" si="3"/>
        <v>OK</v>
      </c>
    </row>
    <row r="22" spans="1:48" ht="57" customHeight="1">
      <c r="A22" s="66">
        <v>15</v>
      </c>
      <c r="B22" s="89"/>
      <c r="C22" s="91"/>
      <c r="D22" s="38" t="s">
        <v>732</v>
      </c>
      <c r="E22" s="38" t="s">
        <v>551</v>
      </c>
      <c r="F22" s="445">
        <v>620719</v>
      </c>
      <c r="G22" s="414"/>
      <c r="H22" s="414"/>
      <c r="I22" s="414"/>
      <c r="J22" s="414">
        <v>620719</v>
      </c>
      <c r="K22" s="445">
        <v>635719</v>
      </c>
      <c r="L22" s="445"/>
      <c r="M22" s="445"/>
      <c r="N22" s="445"/>
      <c r="O22" s="445"/>
      <c r="P22" s="445">
        <v>-317860</v>
      </c>
      <c r="Q22" s="446"/>
      <c r="R22" s="447"/>
      <c r="S22" s="447"/>
      <c r="T22" s="450">
        <v>-317860</v>
      </c>
      <c r="U22" s="756">
        <f t="shared" si="0"/>
        <v>0</v>
      </c>
      <c r="V22" s="129" t="s">
        <v>302</v>
      </c>
      <c r="W22" s="445">
        <v>-310359</v>
      </c>
      <c r="X22" s="413">
        <v>620597</v>
      </c>
      <c r="Y22" s="414"/>
      <c r="Z22" s="414"/>
      <c r="AA22" s="414"/>
      <c r="AB22" s="414"/>
      <c r="AC22" s="414"/>
      <c r="AD22" s="445">
        <v>-310298</v>
      </c>
      <c r="AE22" s="446"/>
      <c r="AF22" s="447"/>
      <c r="AG22" s="447"/>
      <c r="AH22" s="450">
        <v>-310359</v>
      </c>
      <c r="AI22" s="449"/>
      <c r="AJ22" s="448"/>
      <c r="AK22" s="129" t="s">
        <v>302</v>
      </c>
      <c r="AL22" s="440" t="s">
        <v>421</v>
      </c>
      <c r="AM22" s="128">
        <f t="shared" si="1"/>
        <v>0</v>
      </c>
      <c r="AU22" s="752">
        <f t="shared" si="2"/>
        <v>0</v>
      </c>
      <c r="AV22" s="207" t="str">
        <f t="shared" si="3"/>
        <v>OK</v>
      </c>
    </row>
    <row r="23" spans="1:48" ht="31.5" customHeight="1">
      <c r="A23" s="66">
        <v>16</v>
      </c>
      <c r="B23" s="89"/>
      <c r="C23" s="92"/>
      <c r="D23" s="50" t="s">
        <v>736</v>
      </c>
      <c r="E23" s="50" t="s">
        <v>737</v>
      </c>
      <c r="F23" s="445">
        <v>115291</v>
      </c>
      <c r="G23" s="414">
        <v>51880</v>
      </c>
      <c r="H23" s="414"/>
      <c r="I23" s="414"/>
      <c r="J23" s="414">
        <f>F23-G23</f>
        <v>63411</v>
      </c>
      <c r="K23" s="445">
        <v>89187</v>
      </c>
      <c r="L23" s="445"/>
      <c r="M23" s="445"/>
      <c r="N23" s="445"/>
      <c r="O23" s="445"/>
      <c r="P23" s="445">
        <v>-44594</v>
      </c>
      <c r="Q23" s="446">
        <v>-22296</v>
      </c>
      <c r="R23" s="447"/>
      <c r="S23" s="447"/>
      <c r="T23" s="450">
        <v>-22298</v>
      </c>
      <c r="U23" s="756">
        <f t="shared" si="0"/>
        <v>0</v>
      </c>
      <c r="V23" s="142" t="s">
        <v>386</v>
      </c>
      <c r="W23" s="445">
        <v>-57645</v>
      </c>
      <c r="X23" s="413">
        <v>66796</v>
      </c>
      <c r="Y23" s="414"/>
      <c r="Z23" s="414"/>
      <c r="AA23" s="414"/>
      <c r="AB23" s="414"/>
      <c r="AC23" s="414"/>
      <c r="AD23" s="445">
        <v>-34000</v>
      </c>
      <c r="AE23" s="446">
        <v>-25940</v>
      </c>
      <c r="AF23" s="758"/>
      <c r="AG23" s="447"/>
      <c r="AH23" s="450">
        <v>-31705</v>
      </c>
      <c r="AI23" s="449"/>
      <c r="AJ23" s="448"/>
      <c r="AK23" s="142" t="s">
        <v>386</v>
      </c>
      <c r="AL23" s="440" t="s">
        <v>421</v>
      </c>
      <c r="AM23" s="128">
        <f t="shared" si="1"/>
        <v>0</v>
      </c>
      <c r="AU23" s="752">
        <f t="shared" si="2"/>
        <v>0</v>
      </c>
      <c r="AV23" s="207" t="str">
        <f t="shared" si="3"/>
        <v>OK</v>
      </c>
    </row>
    <row r="24" spans="1:48" ht="45.75" customHeight="1">
      <c r="A24" s="66">
        <v>17</v>
      </c>
      <c r="B24" s="89"/>
      <c r="C24" s="90" t="s">
        <v>125</v>
      </c>
      <c r="D24" s="51" t="s">
        <v>126</v>
      </c>
      <c r="E24" s="50" t="s">
        <v>127</v>
      </c>
      <c r="F24" s="445">
        <v>194550</v>
      </c>
      <c r="G24" s="414"/>
      <c r="H24" s="414"/>
      <c r="I24" s="414"/>
      <c r="J24" s="414">
        <v>194550</v>
      </c>
      <c r="K24" s="445">
        <v>151877</v>
      </c>
      <c r="L24" s="445"/>
      <c r="M24" s="445"/>
      <c r="N24" s="445"/>
      <c r="O24" s="445"/>
      <c r="P24" s="445">
        <v>-151877</v>
      </c>
      <c r="Q24" s="446"/>
      <c r="R24" s="447"/>
      <c r="S24" s="447"/>
      <c r="T24" s="450">
        <v>-151877</v>
      </c>
      <c r="U24" s="756">
        <f t="shared" si="0"/>
        <v>0</v>
      </c>
      <c r="V24" s="153"/>
      <c r="W24" s="445">
        <v>-194550</v>
      </c>
      <c r="X24" s="413">
        <v>187443</v>
      </c>
      <c r="Y24" s="414"/>
      <c r="Z24" s="414"/>
      <c r="AA24" s="414"/>
      <c r="AB24" s="414"/>
      <c r="AC24" s="414"/>
      <c r="AD24" s="445">
        <v>-187443</v>
      </c>
      <c r="AE24" s="446"/>
      <c r="AF24" s="447"/>
      <c r="AG24" s="447"/>
      <c r="AH24" s="450">
        <v>-194550</v>
      </c>
      <c r="AI24" s="154"/>
      <c r="AJ24" s="448"/>
      <c r="AK24" s="153"/>
      <c r="AL24" s="440" t="s">
        <v>421</v>
      </c>
      <c r="AM24" s="128">
        <f t="shared" si="1"/>
        <v>0</v>
      </c>
      <c r="AQ24" s="35"/>
      <c r="AR24" s="35"/>
      <c r="AS24" s="35"/>
      <c r="AT24" s="76">
        <f>AF24-AN24-AO24-AP24-AQ24-AS24</f>
        <v>0</v>
      </c>
      <c r="AU24" s="752">
        <f t="shared" si="2"/>
        <v>0</v>
      </c>
      <c r="AV24" s="207" t="str">
        <f t="shared" si="3"/>
        <v>OK</v>
      </c>
    </row>
    <row r="25" spans="1:48" ht="55.5" customHeight="1">
      <c r="A25" s="66">
        <v>18</v>
      </c>
      <c r="B25" s="89"/>
      <c r="C25" s="94" t="s">
        <v>102</v>
      </c>
      <c r="D25" s="51" t="s">
        <v>103</v>
      </c>
      <c r="E25" s="50" t="s">
        <v>617</v>
      </c>
      <c r="F25" s="445">
        <v>2688590</v>
      </c>
      <c r="G25" s="414"/>
      <c r="H25" s="414">
        <v>2688590</v>
      </c>
      <c r="I25" s="414"/>
      <c r="J25" s="414"/>
      <c r="K25" s="445">
        <v>1957581</v>
      </c>
      <c r="L25" s="445"/>
      <c r="M25" s="445"/>
      <c r="N25" s="445"/>
      <c r="O25" s="445"/>
      <c r="P25" s="445">
        <v>-745065</v>
      </c>
      <c r="Q25" s="446"/>
      <c r="R25" s="447">
        <v>-745065</v>
      </c>
      <c r="S25" s="447"/>
      <c r="T25" s="450"/>
      <c r="U25" s="756">
        <f t="shared" si="0"/>
        <v>0</v>
      </c>
      <c r="V25" s="142" t="s">
        <v>492</v>
      </c>
      <c r="W25" s="445">
        <v>-1098030</v>
      </c>
      <c r="X25" s="413">
        <v>2552092</v>
      </c>
      <c r="Y25" s="414"/>
      <c r="Z25" s="414"/>
      <c r="AA25" s="414"/>
      <c r="AB25" s="414"/>
      <c r="AC25" s="414"/>
      <c r="AD25" s="445">
        <v>-877314</v>
      </c>
      <c r="AE25" s="446"/>
      <c r="AF25" s="447">
        <v>-1098030</v>
      </c>
      <c r="AG25" s="447"/>
      <c r="AH25" s="450"/>
      <c r="AI25" s="449"/>
      <c r="AJ25" s="448"/>
      <c r="AK25" s="142" t="s">
        <v>492</v>
      </c>
      <c r="AL25" s="440" t="s">
        <v>421</v>
      </c>
      <c r="AM25" s="128">
        <f t="shared" si="1"/>
        <v>0</v>
      </c>
      <c r="AS25" s="35">
        <v>-745065</v>
      </c>
      <c r="AU25" s="752">
        <f t="shared" si="2"/>
        <v>-745065</v>
      </c>
      <c r="AV25" s="207" t="str">
        <f t="shared" si="3"/>
        <v>OK</v>
      </c>
    </row>
    <row r="26" spans="1:48" ht="31.5" customHeight="1">
      <c r="A26" s="66">
        <v>19</v>
      </c>
      <c r="B26" s="89"/>
      <c r="C26" s="90" t="s">
        <v>128</v>
      </c>
      <c r="D26" s="51" t="s">
        <v>129</v>
      </c>
      <c r="E26" s="50" t="s">
        <v>734</v>
      </c>
      <c r="F26" s="445">
        <v>171</v>
      </c>
      <c r="G26" s="414"/>
      <c r="H26" s="414"/>
      <c r="I26" s="414"/>
      <c r="J26" s="414">
        <v>171</v>
      </c>
      <c r="K26" s="445">
        <v>5359</v>
      </c>
      <c r="L26" s="445"/>
      <c r="M26" s="445"/>
      <c r="N26" s="445"/>
      <c r="O26" s="445"/>
      <c r="P26" s="445">
        <v>-5359</v>
      </c>
      <c r="Q26" s="446">
        <v>-5214</v>
      </c>
      <c r="R26" s="447"/>
      <c r="S26" s="447"/>
      <c r="T26" s="450">
        <v>-145</v>
      </c>
      <c r="U26" s="756">
        <f t="shared" si="0"/>
        <v>0</v>
      </c>
      <c r="V26" s="142"/>
      <c r="W26" s="445">
        <v>-171</v>
      </c>
      <c r="X26" s="413">
        <v>5034</v>
      </c>
      <c r="Y26" s="414"/>
      <c r="Z26" s="414"/>
      <c r="AA26" s="414"/>
      <c r="AB26" s="414"/>
      <c r="AC26" s="414"/>
      <c r="AD26" s="445">
        <v>-5034</v>
      </c>
      <c r="AE26" s="446"/>
      <c r="AF26" s="447"/>
      <c r="AG26" s="447"/>
      <c r="AH26" s="450">
        <v>-171</v>
      </c>
      <c r="AI26" s="449"/>
      <c r="AJ26" s="448"/>
      <c r="AK26" s="142"/>
      <c r="AL26" s="440" t="s">
        <v>421</v>
      </c>
      <c r="AM26" s="128">
        <f t="shared" si="1"/>
        <v>0</v>
      </c>
      <c r="AU26" s="752">
        <f t="shared" si="2"/>
        <v>0</v>
      </c>
      <c r="AV26" s="207" t="str">
        <f t="shared" si="3"/>
        <v>OK</v>
      </c>
    </row>
    <row r="27" spans="1:49" ht="43.5" customHeight="1" thickBot="1">
      <c r="A27" s="66">
        <v>20</v>
      </c>
      <c r="B27" s="89"/>
      <c r="C27" s="91"/>
      <c r="D27" s="56"/>
      <c r="E27" s="38" t="s">
        <v>706</v>
      </c>
      <c r="F27" s="452">
        <v>34546</v>
      </c>
      <c r="G27" s="416"/>
      <c r="H27" s="416">
        <v>14124</v>
      </c>
      <c r="I27" s="416"/>
      <c r="J27" s="416">
        <f>F27-H27</f>
        <v>20422</v>
      </c>
      <c r="K27" s="452">
        <v>28705</v>
      </c>
      <c r="L27" s="452"/>
      <c r="M27" s="452"/>
      <c r="N27" s="452"/>
      <c r="O27" s="452"/>
      <c r="P27" s="452">
        <v>-28705</v>
      </c>
      <c r="Q27" s="453"/>
      <c r="R27" s="454">
        <v>-4655</v>
      </c>
      <c r="S27" s="454"/>
      <c r="T27" s="455">
        <v>-24050</v>
      </c>
      <c r="U27" s="756">
        <f t="shared" si="0"/>
        <v>0</v>
      </c>
      <c r="V27" s="129" t="s">
        <v>357</v>
      </c>
      <c r="W27" s="452">
        <v>-34546</v>
      </c>
      <c r="X27" s="415">
        <v>35802</v>
      </c>
      <c r="Y27" s="416"/>
      <c r="Z27" s="416"/>
      <c r="AA27" s="416"/>
      <c r="AB27" s="416"/>
      <c r="AC27" s="416"/>
      <c r="AD27" s="452">
        <v>-35802</v>
      </c>
      <c r="AE27" s="453"/>
      <c r="AF27" s="454">
        <v>-14124</v>
      </c>
      <c r="AG27" s="454"/>
      <c r="AH27" s="455">
        <v>-20422</v>
      </c>
      <c r="AI27" s="456"/>
      <c r="AJ27" s="457"/>
      <c r="AK27" s="129" t="s">
        <v>175</v>
      </c>
      <c r="AL27" s="440" t="s">
        <v>421</v>
      </c>
      <c r="AM27" s="128">
        <f t="shared" si="1"/>
        <v>0</v>
      </c>
      <c r="AS27" s="48"/>
      <c r="AT27" s="48">
        <v>-4655</v>
      </c>
      <c r="AU27" s="752">
        <f t="shared" si="2"/>
        <v>-4655</v>
      </c>
      <c r="AV27" s="207" t="str">
        <f t="shared" si="3"/>
        <v>OK</v>
      </c>
      <c r="AW27" s="48">
        <v>-4655</v>
      </c>
    </row>
    <row r="28" spans="2:48" ht="31.5" customHeight="1" thickBot="1">
      <c r="B28" s="95"/>
      <c r="C28" s="96"/>
      <c r="D28" s="57"/>
      <c r="E28" s="57" t="s">
        <v>403</v>
      </c>
      <c r="F28" s="467">
        <f aca="true" t="shared" si="5" ref="F28:K28">SUM(F9:F27)</f>
        <v>11888457</v>
      </c>
      <c r="G28" s="373">
        <f t="shared" si="5"/>
        <v>52930</v>
      </c>
      <c r="H28" s="373">
        <f t="shared" si="5"/>
        <v>3556969</v>
      </c>
      <c r="I28" s="373">
        <f t="shared" si="5"/>
        <v>0</v>
      </c>
      <c r="J28" s="373">
        <f t="shared" si="5"/>
        <v>8278558</v>
      </c>
      <c r="K28" s="467">
        <f t="shared" si="5"/>
        <v>11613501</v>
      </c>
      <c r="L28" s="467"/>
      <c r="M28" s="467"/>
      <c r="N28" s="467"/>
      <c r="O28" s="467"/>
      <c r="P28" s="467">
        <f>SUM(P9:P27)</f>
        <v>-3624578</v>
      </c>
      <c r="Q28" s="466">
        <f>SUM(Q9:Q27)</f>
        <v>-28544</v>
      </c>
      <c r="R28" s="464">
        <f>SUM(R9:R27)</f>
        <v>-1332844</v>
      </c>
      <c r="S28" s="464">
        <f>SUM(S9:S27)</f>
        <v>0</v>
      </c>
      <c r="T28" s="465">
        <f>SUM(T9:T27)</f>
        <v>-2263190</v>
      </c>
      <c r="U28" s="756">
        <f t="shared" si="0"/>
        <v>0</v>
      </c>
      <c r="V28" s="144"/>
      <c r="W28" s="467">
        <f aca="true" t="shared" si="6" ref="W28:AB28">SUM(W9:W27)</f>
        <v>-4365318</v>
      </c>
      <c r="X28" s="759">
        <f t="shared" si="6"/>
        <v>13231320</v>
      </c>
      <c r="Y28" s="373">
        <f t="shared" si="6"/>
        <v>0</v>
      </c>
      <c r="Z28" s="373">
        <f t="shared" si="6"/>
        <v>178853</v>
      </c>
      <c r="AA28" s="373">
        <f t="shared" si="6"/>
        <v>0</v>
      </c>
      <c r="AB28" s="373">
        <f t="shared" si="6"/>
        <v>2502959</v>
      </c>
      <c r="AC28" s="373"/>
      <c r="AD28" s="467">
        <f>SUM(AD9:AD27)</f>
        <v>-4286233</v>
      </c>
      <c r="AE28" s="466">
        <f>SUM(AE9:AE27)</f>
        <v>-26990</v>
      </c>
      <c r="AF28" s="464">
        <f>SUM(AF9:AF27)</f>
        <v>-1840339</v>
      </c>
      <c r="AG28" s="464">
        <f>SUM(AG9:AG27)</f>
        <v>0</v>
      </c>
      <c r="AH28" s="465">
        <f>SUM(AH9:AH27)</f>
        <v>-2497989</v>
      </c>
      <c r="AI28" s="466"/>
      <c r="AJ28" s="465"/>
      <c r="AK28" s="144"/>
      <c r="AL28" s="440"/>
      <c r="AM28" s="128">
        <f t="shared" si="1"/>
        <v>0</v>
      </c>
      <c r="AO28" s="59">
        <f aca="true" t="shared" si="7" ref="AO28:AT28">SUM(AO9:AO27)</f>
        <v>0</v>
      </c>
      <c r="AP28" s="59">
        <f t="shared" si="7"/>
        <v>0</v>
      </c>
      <c r="AQ28" s="59">
        <f t="shared" si="7"/>
        <v>0</v>
      </c>
      <c r="AR28" s="59">
        <f t="shared" si="7"/>
        <v>0</v>
      </c>
      <c r="AS28" s="59">
        <f t="shared" si="7"/>
        <v>-766923</v>
      </c>
      <c r="AT28" s="59">
        <f t="shared" si="7"/>
        <v>-565921</v>
      </c>
      <c r="AU28" s="752">
        <f t="shared" si="2"/>
        <v>-1332844</v>
      </c>
      <c r="AV28" s="207" t="str">
        <f t="shared" si="3"/>
        <v>OK</v>
      </c>
    </row>
    <row r="29" spans="1:48" ht="31.5" customHeight="1">
      <c r="A29" s="66">
        <v>21</v>
      </c>
      <c r="B29" s="89" t="s">
        <v>334</v>
      </c>
      <c r="C29" s="91" t="s">
        <v>335</v>
      </c>
      <c r="D29" s="51" t="s">
        <v>454</v>
      </c>
      <c r="E29" s="50" t="s">
        <v>455</v>
      </c>
      <c r="F29" s="445">
        <v>416378</v>
      </c>
      <c r="G29" s="414">
        <v>276652</v>
      </c>
      <c r="H29" s="414"/>
      <c r="I29" s="414"/>
      <c r="J29" s="414">
        <v>137729</v>
      </c>
      <c r="K29" s="445">
        <v>396849</v>
      </c>
      <c r="L29" s="445"/>
      <c r="M29" s="445"/>
      <c r="N29" s="445"/>
      <c r="O29" s="445"/>
      <c r="P29" s="445">
        <f>-K29</f>
        <v>-396849</v>
      </c>
      <c r="Q29" s="446">
        <v>-263656</v>
      </c>
      <c r="R29" s="447"/>
      <c r="S29" s="447"/>
      <c r="T29" s="450">
        <v>-133193</v>
      </c>
      <c r="U29" s="756">
        <f t="shared" si="0"/>
        <v>0</v>
      </c>
      <c r="V29" s="142"/>
      <c r="W29" s="445">
        <v>-416378</v>
      </c>
      <c r="X29" s="413">
        <v>422339</v>
      </c>
      <c r="Y29" s="414">
        <f>X29*2/3</f>
        <v>281559.3333333333</v>
      </c>
      <c r="Z29" s="414"/>
      <c r="AA29" s="414"/>
      <c r="AB29" s="414">
        <f>X29*1/3</f>
        <v>140779.66666666666</v>
      </c>
      <c r="AC29" s="414"/>
      <c r="AD29" s="445">
        <v>-416378</v>
      </c>
      <c r="AE29" s="446">
        <v>-276652</v>
      </c>
      <c r="AF29" s="447"/>
      <c r="AG29" s="447"/>
      <c r="AH29" s="450">
        <v>-139726</v>
      </c>
      <c r="AI29" s="449"/>
      <c r="AJ29" s="448"/>
      <c r="AK29" s="142"/>
      <c r="AL29" s="440" t="s">
        <v>752</v>
      </c>
      <c r="AM29" s="128">
        <f t="shared" si="1"/>
        <v>0</v>
      </c>
      <c r="AU29" s="752">
        <f t="shared" si="2"/>
        <v>0</v>
      </c>
      <c r="AV29" s="207" t="str">
        <f t="shared" si="3"/>
        <v>OK</v>
      </c>
    </row>
    <row r="30" spans="1:48" ht="31.5" customHeight="1">
      <c r="A30" s="66">
        <v>22</v>
      </c>
      <c r="B30" s="89"/>
      <c r="C30" s="92"/>
      <c r="D30" s="50"/>
      <c r="E30" s="50" t="s">
        <v>404</v>
      </c>
      <c r="F30" s="445">
        <v>12680</v>
      </c>
      <c r="G30" s="414">
        <v>12420</v>
      </c>
      <c r="H30" s="414"/>
      <c r="I30" s="414"/>
      <c r="J30" s="414">
        <f>F30-G30</f>
        <v>260</v>
      </c>
      <c r="K30" s="445">
        <v>9653</v>
      </c>
      <c r="L30" s="445"/>
      <c r="M30" s="445"/>
      <c r="N30" s="445"/>
      <c r="O30" s="445"/>
      <c r="P30" s="445">
        <f>-K30</f>
        <v>-9653</v>
      </c>
      <c r="Q30" s="446">
        <v>-9416</v>
      </c>
      <c r="R30" s="447"/>
      <c r="S30" s="447"/>
      <c r="T30" s="450">
        <v>-237</v>
      </c>
      <c r="U30" s="756">
        <f t="shared" si="0"/>
        <v>0</v>
      </c>
      <c r="V30" s="142"/>
      <c r="W30" s="445">
        <v>-12680</v>
      </c>
      <c r="X30" s="413">
        <v>12694</v>
      </c>
      <c r="Y30" s="414"/>
      <c r="Z30" s="414"/>
      <c r="AA30" s="414"/>
      <c r="AB30" s="414"/>
      <c r="AC30" s="414"/>
      <c r="AD30" s="445">
        <v>-12694</v>
      </c>
      <c r="AE30" s="446">
        <f>-G30</f>
        <v>-12420</v>
      </c>
      <c r="AF30" s="447"/>
      <c r="AG30" s="447"/>
      <c r="AH30" s="450">
        <f>-J30</f>
        <v>-260</v>
      </c>
      <c r="AI30" s="449"/>
      <c r="AJ30" s="448"/>
      <c r="AK30" s="142"/>
      <c r="AL30" s="440" t="s">
        <v>421</v>
      </c>
      <c r="AM30" s="128">
        <f t="shared" si="1"/>
        <v>0</v>
      </c>
      <c r="AU30" s="752">
        <f t="shared" si="2"/>
        <v>0</v>
      </c>
      <c r="AV30" s="207" t="str">
        <f t="shared" si="3"/>
        <v>OK</v>
      </c>
    </row>
    <row r="31" spans="1:48" ht="40.5" customHeight="1" thickBot="1">
      <c r="A31" s="66">
        <v>23</v>
      </c>
      <c r="B31" s="89"/>
      <c r="C31" s="93" t="s">
        <v>84</v>
      </c>
      <c r="D31" s="50" t="s">
        <v>405</v>
      </c>
      <c r="E31" s="50"/>
      <c r="F31" s="445">
        <v>61740</v>
      </c>
      <c r="G31" s="414">
        <v>41160</v>
      </c>
      <c r="H31" s="414"/>
      <c r="I31" s="414">
        <v>20400</v>
      </c>
      <c r="J31" s="414">
        <v>180</v>
      </c>
      <c r="K31" s="445">
        <v>61740</v>
      </c>
      <c r="L31" s="445"/>
      <c r="M31" s="445"/>
      <c r="N31" s="445"/>
      <c r="O31" s="445"/>
      <c r="P31" s="445">
        <f>-K31</f>
        <v>-61740</v>
      </c>
      <c r="Q31" s="446">
        <v>-41160</v>
      </c>
      <c r="R31" s="447"/>
      <c r="S31" s="447">
        <v>-20100</v>
      </c>
      <c r="T31" s="450">
        <v>-480</v>
      </c>
      <c r="U31" s="756">
        <f aca="true" t="shared" si="8" ref="U31:U42">P31-Q31-R31-S31-T31</f>
        <v>0</v>
      </c>
      <c r="V31" s="142" t="s">
        <v>72</v>
      </c>
      <c r="W31" s="445">
        <v>-61740</v>
      </c>
      <c r="X31" s="413">
        <v>63650</v>
      </c>
      <c r="Y31" s="414"/>
      <c r="Z31" s="414"/>
      <c r="AA31" s="414"/>
      <c r="AB31" s="414"/>
      <c r="AC31" s="414"/>
      <c r="AD31" s="445">
        <v>-63650</v>
      </c>
      <c r="AE31" s="446">
        <v>-41160</v>
      </c>
      <c r="AF31" s="447"/>
      <c r="AG31" s="447">
        <v>-20400</v>
      </c>
      <c r="AH31" s="450">
        <v>-180</v>
      </c>
      <c r="AI31" s="449"/>
      <c r="AJ31" s="448"/>
      <c r="AK31" s="142" t="s">
        <v>72</v>
      </c>
      <c r="AL31" s="440" t="s">
        <v>421</v>
      </c>
      <c r="AM31" s="128">
        <f aca="true" t="shared" si="9" ref="AM31:AM42">W31-AE31-AF31-AG31-AH31</f>
        <v>0</v>
      </c>
      <c r="AU31" s="752">
        <f t="shared" si="2"/>
        <v>0</v>
      </c>
      <c r="AV31" s="207" t="str">
        <f aca="true" t="shared" si="10" ref="AV31:AV42">IF(R31=AU31,"OK","OUT")</f>
        <v>OK</v>
      </c>
    </row>
    <row r="32" spans="2:48" ht="31.5" customHeight="1" thickBot="1">
      <c r="B32" s="95"/>
      <c r="C32" s="96"/>
      <c r="D32" s="57"/>
      <c r="E32" s="57" t="s">
        <v>403</v>
      </c>
      <c r="F32" s="467">
        <f aca="true" t="shared" si="11" ref="F32:K32">SUM(F29:F31)</f>
        <v>490798</v>
      </c>
      <c r="G32" s="373">
        <f t="shared" si="11"/>
        <v>330232</v>
      </c>
      <c r="H32" s="373">
        <f t="shared" si="11"/>
        <v>0</v>
      </c>
      <c r="I32" s="373">
        <f t="shared" si="11"/>
        <v>20400</v>
      </c>
      <c r="J32" s="373">
        <f t="shared" si="11"/>
        <v>138169</v>
      </c>
      <c r="K32" s="467">
        <f t="shared" si="11"/>
        <v>468242</v>
      </c>
      <c r="L32" s="467"/>
      <c r="M32" s="467"/>
      <c r="N32" s="467"/>
      <c r="O32" s="467"/>
      <c r="P32" s="467">
        <f>SUM(P29:P31)</f>
        <v>-468242</v>
      </c>
      <c r="Q32" s="466">
        <f>SUM(Q29:Q31)</f>
        <v>-314232</v>
      </c>
      <c r="R32" s="464">
        <f>SUM(R29:R31)</f>
        <v>0</v>
      </c>
      <c r="S32" s="464">
        <f>SUM(S29:S31)</f>
        <v>-20100</v>
      </c>
      <c r="T32" s="465">
        <f>SUM(T29:T31)</f>
        <v>-133910</v>
      </c>
      <c r="U32" s="756">
        <f t="shared" si="8"/>
        <v>0</v>
      </c>
      <c r="V32" s="144"/>
      <c r="W32" s="467">
        <f aca="true" t="shared" si="12" ref="W32:AB32">SUM(W29:W31)</f>
        <v>-490798</v>
      </c>
      <c r="X32" s="759">
        <f t="shared" si="12"/>
        <v>498683</v>
      </c>
      <c r="Y32" s="373">
        <f t="shared" si="12"/>
        <v>281559.3333333333</v>
      </c>
      <c r="Z32" s="373">
        <f t="shared" si="12"/>
        <v>0</v>
      </c>
      <c r="AA32" s="373">
        <f t="shared" si="12"/>
        <v>0</v>
      </c>
      <c r="AB32" s="373">
        <f t="shared" si="12"/>
        <v>140779.66666666666</v>
      </c>
      <c r="AC32" s="373"/>
      <c r="AD32" s="467">
        <f>SUM(AD29:AD31)</f>
        <v>-492722</v>
      </c>
      <c r="AE32" s="466">
        <f>SUM(AE29:AE31)</f>
        <v>-330232</v>
      </c>
      <c r="AF32" s="464">
        <f>SUM(AF29:AF31)</f>
        <v>0</v>
      </c>
      <c r="AG32" s="464">
        <f>SUM(AG29:AG31)</f>
        <v>-20400</v>
      </c>
      <c r="AH32" s="465">
        <f>SUM(AH29:AH31)</f>
        <v>-140166</v>
      </c>
      <c r="AI32" s="466"/>
      <c r="AJ32" s="465"/>
      <c r="AK32" s="144"/>
      <c r="AL32" s="440"/>
      <c r="AM32" s="128">
        <f t="shared" si="9"/>
        <v>0</v>
      </c>
      <c r="AO32" s="59">
        <f aca="true" t="shared" si="13" ref="AO32:AT32">SUM(AO29:AO31)</f>
        <v>0</v>
      </c>
      <c r="AP32" s="59">
        <f t="shared" si="13"/>
        <v>0</v>
      </c>
      <c r="AQ32" s="59">
        <f t="shared" si="13"/>
        <v>0</v>
      </c>
      <c r="AR32" s="59">
        <f t="shared" si="13"/>
        <v>0</v>
      </c>
      <c r="AS32" s="59">
        <f t="shared" si="13"/>
        <v>0</v>
      </c>
      <c r="AT32" s="59">
        <f t="shared" si="13"/>
        <v>0</v>
      </c>
      <c r="AU32" s="752">
        <f t="shared" si="2"/>
        <v>0</v>
      </c>
      <c r="AV32" s="207" t="str">
        <f t="shared" si="10"/>
        <v>OK</v>
      </c>
    </row>
    <row r="33" spans="1:48" ht="39" customHeight="1">
      <c r="A33" s="66">
        <v>24</v>
      </c>
      <c r="B33" s="89" t="s">
        <v>336</v>
      </c>
      <c r="C33" s="92" t="s">
        <v>337</v>
      </c>
      <c r="D33" s="50" t="s">
        <v>443</v>
      </c>
      <c r="E33" s="50"/>
      <c r="F33" s="445">
        <v>1745</v>
      </c>
      <c r="G33" s="414"/>
      <c r="H33" s="414"/>
      <c r="I33" s="414"/>
      <c r="J33" s="414"/>
      <c r="K33" s="445">
        <v>1745</v>
      </c>
      <c r="L33" s="445"/>
      <c r="M33" s="445"/>
      <c r="N33" s="445"/>
      <c r="O33" s="445"/>
      <c r="P33" s="445">
        <v>-1745</v>
      </c>
      <c r="Q33" s="446"/>
      <c r="R33" s="447"/>
      <c r="S33" s="447"/>
      <c r="T33" s="450">
        <v>-1745</v>
      </c>
      <c r="U33" s="756">
        <f t="shared" si="8"/>
        <v>0</v>
      </c>
      <c r="V33" s="142" t="s">
        <v>35</v>
      </c>
      <c r="W33" s="445">
        <v>-1745</v>
      </c>
      <c r="X33" s="413">
        <v>2805</v>
      </c>
      <c r="Y33" s="414"/>
      <c r="Z33" s="414"/>
      <c r="AA33" s="414"/>
      <c r="AB33" s="414"/>
      <c r="AC33" s="414"/>
      <c r="AD33" s="445">
        <v>-2805</v>
      </c>
      <c r="AE33" s="446"/>
      <c r="AF33" s="447"/>
      <c r="AG33" s="447"/>
      <c r="AH33" s="450">
        <v>-1745</v>
      </c>
      <c r="AI33" s="449"/>
      <c r="AJ33" s="448"/>
      <c r="AK33" s="142" t="s">
        <v>35</v>
      </c>
      <c r="AL33" s="440" t="s">
        <v>421</v>
      </c>
      <c r="AM33" s="128">
        <f t="shared" si="9"/>
        <v>0</v>
      </c>
      <c r="AU33" s="752">
        <f t="shared" si="2"/>
        <v>0</v>
      </c>
      <c r="AV33" s="207" t="str">
        <f t="shared" si="10"/>
        <v>OK</v>
      </c>
    </row>
    <row r="34" spans="1:48" ht="58.5" customHeight="1" thickBot="1">
      <c r="A34" s="66">
        <v>25</v>
      </c>
      <c r="B34" s="89"/>
      <c r="C34" s="90" t="s">
        <v>86</v>
      </c>
      <c r="D34" s="50" t="s">
        <v>87</v>
      </c>
      <c r="E34" s="50" t="s">
        <v>555</v>
      </c>
      <c r="F34" s="445">
        <v>87000</v>
      </c>
      <c r="G34" s="414"/>
      <c r="H34" s="414"/>
      <c r="I34" s="414"/>
      <c r="J34" s="414">
        <v>87000</v>
      </c>
      <c r="K34" s="445">
        <v>87000</v>
      </c>
      <c r="L34" s="445"/>
      <c r="M34" s="445"/>
      <c r="N34" s="445"/>
      <c r="O34" s="445"/>
      <c r="P34" s="445">
        <v>-87000</v>
      </c>
      <c r="Q34" s="446"/>
      <c r="R34" s="447"/>
      <c r="S34" s="447"/>
      <c r="T34" s="450">
        <v>-87000</v>
      </c>
      <c r="U34" s="756">
        <f t="shared" si="8"/>
        <v>0</v>
      </c>
      <c r="V34" s="142" t="s">
        <v>708</v>
      </c>
      <c r="W34" s="445">
        <v>-87000</v>
      </c>
      <c r="X34" s="413">
        <v>87000</v>
      </c>
      <c r="Y34" s="414"/>
      <c r="Z34" s="414"/>
      <c r="AA34" s="414"/>
      <c r="AB34" s="414"/>
      <c r="AC34" s="414"/>
      <c r="AD34" s="445">
        <v>-87000</v>
      </c>
      <c r="AE34" s="446"/>
      <c r="AF34" s="447"/>
      <c r="AG34" s="447"/>
      <c r="AH34" s="450">
        <v>-87000</v>
      </c>
      <c r="AI34" s="449"/>
      <c r="AJ34" s="448"/>
      <c r="AK34" s="142" t="s">
        <v>708</v>
      </c>
      <c r="AL34" s="440" t="s">
        <v>421</v>
      </c>
      <c r="AM34" s="128">
        <f t="shared" si="9"/>
        <v>0</v>
      </c>
      <c r="AU34" s="752">
        <f t="shared" si="2"/>
        <v>0</v>
      </c>
      <c r="AV34" s="207" t="str">
        <f t="shared" si="10"/>
        <v>OK</v>
      </c>
    </row>
    <row r="35" spans="2:48" ht="31.5" customHeight="1" thickBot="1">
      <c r="B35" s="95"/>
      <c r="C35" s="96"/>
      <c r="D35" s="57"/>
      <c r="E35" s="57" t="s">
        <v>403</v>
      </c>
      <c r="F35" s="467">
        <f>SUM(F33:F34)</f>
        <v>88745</v>
      </c>
      <c r="G35" s="373"/>
      <c r="H35" s="373"/>
      <c r="I35" s="373"/>
      <c r="J35" s="373"/>
      <c r="K35" s="467">
        <f>SUM(K33:K34)</f>
        <v>88745</v>
      </c>
      <c r="L35" s="467"/>
      <c r="M35" s="467"/>
      <c r="N35" s="467"/>
      <c r="O35" s="467"/>
      <c r="P35" s="467">
        <f>SUM(P33:P34)</f>
        <v>-88745</v>
      </c>
      <c r="Q35" s="468">
        <f>SUM(Q33:Q34)</f>
        <v>0</v>
      </c>
      <c r="R35" s="468">
        <f>SUM(R33:R34)</f>
        <v>0</v>
      </c>
      <c r="S35" s="468">
        <f>SUM(S33:S34)</f>
        <v>0</v>
      </c>
      <c r="T35" s="465">
        <f>SUM(T33:T34)</f>
        <v>-88745</v>
      </c>
      <c r="U35" s="756">
        <f t="shared" si="8"/>
        <v>0</v>
      </c>
      <c r="V35" s="144"/>
      <c r="W35" s="467">
        <f>SUM(W33:W34)</f>
        <v>-88745</v>
      </c>
      <c r="X35" s="759">
        <f>SUM(X33:X34)</f>
        <v>89805</v>
      </c>
      <c r="Y35" s="373"/>
      <c r="Z35" s="373"/>
      <c r="AA35" s="373"/>
      <c r="AB35" s="373"/>
      <c r="AC35" s="373"/>
      <c r="AD35" s="467">
        <f>SUM(AD33:AD34)</f>
        <v>-89805</v>
      </c>
      <c r="AE35" s="468">
        <f>SUM(AE33:AE34)</f>
        <v>0</v>
      </c>
      <c r="AF35" s="468">
        <f>SUM(AF33:AF34)</f>
        <v>0</v>
      </c>
      <c r="AG35" s="468">
        <f>SUM(AG33:AG34)</f>
        <v>0</v>
      </c>
      <c r="AH35" s="465">
        <f>SUM(AH33:AH34)</f>
        <v>-88745</v>
      </c>
      <c r="AI35" s="466"/>
      <c r="AJ35" s="465"/>
      <c r="AK35" s="144"/>
      <c r="AL35" s="440"/>
      <c r="AM35" s="128">
        <f t="shared" si="9"/>
        <v>0</v>
      </c>
      <c r="AO35" s="59">
        <f aca="true" t="shared" si="14" ref="AO35:AT35">SUM(AO33:AO34)</f>
        <v>0</v>
      </c>
      <c r="AP35" s="59">
        <f t="shared" si="14"/>
        <v>0</v>
      </c>
      <c r="AQ35" s="59">
        <f t="shared" si="14"/>
        <v>0</v>
      </c>
      <c r="AR35" s="59">
        <f t="shared" si="14"/>
        <v>0</v>
      </c>
      <c r="AS35" s="59">
        <f t="shared" si="14"/>
        <v>0</v>
      </c>
      <c r="AT35" s="59">
        <f t="shared" si="14"/>
        <v>0</v>
      </c>
      <c r="AU35" s="752">
        <f aca="true" t="shared" si="15" ref="AU35:AU41">SUM(AO35:AT35)</f>
        <v>0</v>
      </c>
      <c r="AV35" s="207" t="str">
        <f t="shared" si="10"/>
        <v>OK</v>
      </c>
    </row>
    <row r="36" spans="1:48" ht="40.5" customHeight="1">
      <c r="A36" s="66">
        <v>26</v>
      </c>
      <c r="B36" s="151" t="s">
        <v>196</v>
      </c>
      <c r="C36" s="192" t="s">
        <v>481</v>
      </c>
      <c r="D36" s="180" t="s">
        <v>599</v>
      </c>
      <c r="E36" s="180" t="s">
        <v>600</v>
      </c>
      <c r="F36" s="469">
        <v>15106</v>
      </c>
      <c r="G36" s="421"/>
      <c r="H36" s="421"/>
      <c r="I36" s="421"/>
      <c r="J36" s="421"/>
      <c r="K36" s="469">
        <v>12854</v>
      </c>
      <c r="L36" s="469"/>
      <c r="M36" s="469"/>
      <c r="N36" s="469"/>
      <c r="O36" s="469"/>
      <c r="P36" s="469">
        <f>-K36</f>
        <v>-12854</v>
      </c>
      <c r="Q36" s="470"/>
      <c r="R36" s="470"/>
      <c r="S36" s="470"/>
      <c r="T36" s="471">
        <f>P36</f>
        <v>-12854</v>
      </c>
      <c r="U36" s="756">
        <f t="shared" si="8"/>
        <v>0</v>
      </c>
      <c r="V36" s="126"/>
      <c r="W36" s="469">
        <v>-15106</v>
      </c>
      <c r="X36" s="420">
        <v>12326</v>
      </c>
      <c r="Y36" s="421"/>
      <c r="Z36" s="421"/>
      <c r="AA36" s="421"/>
      <c r="AB36" s="421"/>
      <c r="AC36" s="421"/>
      <c r="AD36" s="469">
        <v>-11000</v>
      </c>
      <c r="AE36" s="470"/>
      <c r="AF36" s="470"/>
      <c r="AG36" s="470"/>
      <c r="AH36" s="471">
        <v>-15106</v>
      </c>
      <c r="AI36" s="472"/>
      <c r="AJ36" s="473"/>
      <c r="AK36" s="126"/>
      <c r="AL36" s="440" t="s">
        <v>421</v>
      </c>
      <c r="AM36" s="128">
        <f t="shared" si="9"/>
        <v>0</v>
      </c>
      <c r="AO36" s="62"/>
      <c r="AP36" s="62"/>
      <c r="AQ36" s="62"/>
      <c r="AR36" s="62"/>
      <c r="AS36" s="62"/>
      <c r="AT36" s="62"/>
      <c r="AU36" s="752">
        <f t="shared" si="15"/>
        <v>0</v>
      </c>
      <c r="AV36" s="207" t="str">
        <f t="shared" si="10"/>
        <v>OK</v>
      </c>
    </row>
    <row r="37" spans="1:48" ht="49.5" customHeight="1">
      <c r="A37" s="66">
        <v>27</v>
      </c>
      <c r="B37" s="99"/>
      <c r="C37" s="91" t="s">
        <v>307</v>
      </c>
      <c r="D37" s="51" t="s">
        <v>228</v>
      </c>
      <c r="E37" s="50" t="s">
        <v>601</v>
      </c>
      <c r="F37" s="445">
        <v>17903</v>
      </c>
      <c r="G37" s="414"/>
      <c r="H37" s="414"/>
      <c r="I37" s="414"/>
      <c r="J37" s="414"/>
      <c r="K37" s="445">
        <v>13960</v>
      </c>
      <c r="L37" s="445"/>
      <c r="M37" s="445"/>
      <c r="N37" s="445"/>
      <c r="O37" s="445"/>
      <c r="P37" s="445">
        <v>-750</v>
      </c>
      <c r="Q37" s="446"/>
      <c r="R37" s="447"/>
      <c r="S37" s="447"/>
      <c r="T37" s="450">
        <v>-750</v>
      </c>
      <c r="U37" s="756">
        <f t="shared" si="8"/>
        <v>0</v>
      </c>
      <c r="V37" s="142" t="s">
        <v>256</v>
      </c>
      <c r="W37" s="445">
        <v>-750</v>
      </c>
      <c r="X37" s="413">
        <v>12505</v>
      </c>
      <c r="Y37" s="414"/>
      <c r="Z37" s="414"/>
      <c r="AA37" s="414"/>
      <c r="AB37" s="414"/>
      <c r="AC37" s="414"/>
      <c r="AD37" s="445">
        <v>-1050</v>
      </c>
      <c r="AE37" s="446"/>
      <c r="AF37" s="447"/>
      <c r="AG37" s="447"/>
      <c r="AH37" s="450">
        <v>-750</v>
      </c>
      <c r="AI37" s="449"/>
      <c r="AJ37" s="448"/>
      <c r="AK37" s="142" t="s">
        <v>256</v>
      </c>
      <c r="AL37" s="440" t="s">
        <v>421</v>
      </c>
      <c r="AM37" s="128">
        <f t="shared" si="9"/>
        <v>0</v>
      </c>
      <c r="AU37" s="752">
        <f t="shared" si="15"/>
        <v>0</v>
      </c>
      <c r="AV37" s="207" t="str">
        <f t="shared" si="10"/>
        <v>OK</v>
      </c>
    </row>
    <row r="38" spans="1:48" ht="49.5" customHeight="1">
      <c r="A38" s="66">
        <v>28</v>
      </c>
      <c r="B38" s="99"/>
      <c r="C38" s="91"/>
      <c r="D38" s="51" t="s">
        <v>38</v>
      </c>
      <c r="E38" s="50" t="s">
        <v>189</v>
      </c>
      <c r="F38" s="445">
        <v>62621</v>
      </c>
      <c r="G38" s="414"/>
      <c r="H38" s="414"/>
      <c r="I38" s="414"/>
      <c r="J38" s="414"/>
      <c r="K38" s="445">
        <v>66089</v>
      </c>
      <c r="L38" s="445"/>
      <c r="M38" s="445"/>
      <c r="N38" s="445"/>
      <c r="O38" s="445"/>
      <c r="P38" s="445">
        <v>-66089</v>
      </c>
      <c r="Q38" s="446"/>
      <c r="R38" s="447">
        <v>-66089</v>
      </c>
      <c r="S38" s="447"/>
      <c r="T38" s="450"/>
      <c r="U38" s="756">
        <f t="shared" si="8"/>
        <v>0</v>
      </c>
      <c r="V38" s="142"/>
      <c r="W38" s="445">
        <v>-62621</v>
      </c>
      <c r="X38" s="413">
        <v>49423</v>
      </c>
      <c r="Y38" s="414"/>
      <c r="Z38" s="414"/>
      <c r="AA38" s="414"/>
      <c r="AB38" s="414"/>
      <c r="AC38" s="414"/>
      <c r="AD38" s="445">
        <v>-49423</v>
      </c>
      <c r="AE38" s="446"/>
      <c r="AF38" s="447">
        <v>-62621</v>
      </c>
      <c r="AG38" s="447"/>
      <c r="AH38" s="450"/>
      <c r="AI38" s="449"/>
      <c r="AJ38" s="448"/>
      <c r="AK38" s="142"/>
      <c r="AL38" s="440" t="s">
        <v>421</v>
      </c>
      <c r="AM38" s="128">
        <f t="shared" si="9"/>
        <v>0</v>
      </c>
      <c r="AS38" s="35">
        <v>-66089</v>
      </c>
      <c r="AU38" s="752">
        <f t="shared" si="15"/>
        <v>-66089</v>
      </c>
      <c r="AV38" s="207" t="str">
        <f t="shared" si="10"/>
        <v>OK</v>
      </c>
    </row>
    <row r="39" spans="1:48" ht="33.75" customHeight="1" thickBot="1">
      <c r="A39" s="66">
        <v>29</v>
      </c>
      <c r="B39" s="99"/>
      <c r="C39" s="639" t="s">
        <v>838</v>
      </c>
      <c r="D39" s="138" t="s">
        <v>698</v>
      </c>
      <c r="E39" s="56"/>
      <c r="F39" s="760">
        <v>65421</v>
      </c>
      <c r="G39" s="418"/>
      <c r="H39" s="418"/>
      <c r="I39" s="418"/>
      <c r="J39" s="418"/>
      <c r="K39" s="760">
        <v>65421</v>
      </c>
      <c r="L39" s="760"/>
      <c r="M39" s="760"/>
      <c r="N39" s="760"/>
      <c r="O39" s="760"/>
      <c r="P39" s="760">
        <v>-58617</v>
      </c>
      <c r="Q39" s="475"/>
      <c r="R39" s="459"/>
      <c r="S39" s="459"/>
      <c r="T39" s="460">
        <v>-58617</v>
      </c>
      <c r="U39" s="756">
        <f t="shared" si="8"/>
        <v>0</v>
      </c>
      <c r="V39" s="143" t="s">
        <v>792</v>
      </c>
      <c r="W39" s="760">
        <v>-58617</v>
      </c>
      <c r="X39" s="417">
        <v>65421</v>
      </c>
      <c r="Y39" s="418"/>
      <c r="Z39" s="418"/>
      <c r="AA39" s="418"/>
      <c r="AB39" s="418"/>
      <c r="AC39" s="418"/>
      <c r="AD39" s="760">
        <v>-58617</v>
      </c>
      <c r="AE39" s="475"/>
      <c r="AF39" s="459"/>
      <c r="AG39" s="459"/>
      <c r="AH39" s="460">
        <v>-58617</v>
      </c>
      <c r="AI39" s="451"/>
      <c r="AJ39" s="461"/>
      <c r="AK39" s="143" t="s">
        <v>792</v>
      </c>
      <c r="AL39" s="440" t="s">
        <v>421</v>
      </c>
      <c r="AM39" s="128">
        <f t="shared" si="9"/>
        <v>0</v>
      </c>
      <c r="AU39" s="752">
        <f t="shared" si="15"/>
        <v>0</v>
      </c>
      <c r="AV39" s="207" t="str">
        <f t="shared" si="10"/>
        <v>OK</v>
      </c>
    </row>
    <row r="40" spans="2:48" ht="31.5" customHeight="1" thickBot="1">
      <c r="B40" s="100"/>
      <c r="C40" s="96"/>
      <c r="D40" s="63"/>
      <c r="E40" s="57" t="s">
        <v>403</v>
      </c>
      <c r="F40" s="467">
        <f aca="true" t="shared" si="16" ref="F40:K40">SUM(F36:F39)</f>
        <v>161051</v>
      </c>
      <c r="G40" s="373">
        <f t="shared" si="16"/>
        <v>0</v>
      </c>
      <c r="H40" s="373">
        <f t="shared" si="16"/>
        <v>0</v>
      </c>
      <c r="I40" s="373">
        <f t="shared" si="16"/>
        <v>0</v>
      </c>
      <c r="J40" s="373">
        <f t="shared" si="16"/>
        <v>0</v>
      </c>
      <c r="K40" s="467">
        <f t="shared" si="16"/>
        <v>158324</v>
      </c>
      <c r="L40" s="467"/>
      <c r="M40" s="467"/>
      <c r="N40" s="467"/>
      <c r="O40" s="467"/>
      <c r="P40" s="467">
        <f>SUM(P36:P39)</f>
        <v>-138310</v>
      </c>
      <c r="Q40" s="468">
        <f>SUM(Q36:Q39)</f>
        <v>0</v>
      </c>
      <c r="R40" s="464">
        <f>SUM(R36:R39)</f>
        <v>-66089</v>
      </c>
      <c r="S40" s="464">
        <f>SUM(S36:S39)</f>
        <v>0</v>
      </c>
      <c r="T40" s="465">
        <f>SUM(T36:T39)</f>
        <v>-72221</v>
      </c>
      <c r="U40" s="756">
        <f t="shared" si="8"/>
        <v>0</v>
      </c>
      <c r="V40" s="144"/>
      <c r="W40" s="467">
        <f aca="true" t="shared" si="17" ref="W40:AH40">SUM(W36:W39)</f>
        <v>-137094</v>
      </c>
      <c r="X40" s="422">
        <f t="shared" si="17"/>
        <v>139675</v>
      </c>
      <c r="Y40" s="373">
        <f t="shared" si="17"/>
        <v>0</v>
      </c>
      <c r="Z40" s="373">
        <f t="shared" si="17"/>
        <v>0</v>
      </c>
      <c r="AA40" s="373">
        <f t="shared" si="17"/>
        <v>0</v>
      </c>
      <c r="AB40" s="373">
        <f t="shared" si="17"/>
        <v>0</v>
      </c>
      <c r="AC40" s="373">
        <f t="shared" si="17"/>
        <v>0</v>
      </c>
      <c r="AD40" s="467">
        <f t="shared" si="17"/>
        <v>-120090</v>
      </c>
      <c r="AE40" s="468">
        <f t="shared" si="17"/>
        <v>0</v>
      </c>
      <c r="AF40" s="464">
        <f t="shared" si="17"/>
        <v>-62621</v>
      </c>
      <c r="AG40" s="464">
        <f t="shared" si="17"/>
        <v>0</v>
      </c>
      <c r="AH40" s="465">
        <f t="shared" si="17"/>
        <v>-74473</v>
      </c>
      <c r="AI40" s="466"/>
      <c r="AJ40" s="465"/>
      <c r="AK40" s="144"/>
      <c r="AL40" s="440"/>
      <c r="AM40" s="128">
        <f t="shared" si="9"/>
        <v>0</v>
      </c>
      <c r="AO40" s="128">
        <f aca="true" t="shared" si="18" ref="AO40:AT40">SUM(AO36:AO39)</f>
        <v>0</v>
      </c>
      <c r="AP40" s="128">
        <f t="shared" si="18"/>
        <v>0</v>
      </c>
      <c r="AQ40" s="128">
        <f t="shared" si="18"/>
        <v>0</v>
      </c>
      <c r="AR40" s="128">
        <f t="shared" si="18"/>
        <v>0</v>
      </c>
      <c r="AS40" s="128">
        <f t="shared" si="18"/>
        <v>-66089</v>
      </c>
      <c r="AT40" s="128">
        <f t="shared" si="18"/>
        <v>0</v>
      </c>
      <c r="AU40" s="752">
        <f t="shared" si="15"/>
        <v>-66089</v>
      </c>
      <c r="AV40" s="207" t="str">
        <f t="shared" si="10"/>
        <v>OK</v>
      </c>
    </row>
    <row r="41" spans="1:48" ht="55.5" customHeight="1">
      <c r="A41" s="66">
        <v>30</v>
      </c>
      <c r="B41" s="151" t="s">
        <v>406</v>
      </c>
      <c r="C41" s="91" t="s">
        <v>738</v>
      </c>
      <c r="D41" s="50" t="s">
        <v>739</v>
      </c>
      <c r="E41" s="50" t="s">
        <v>191</v>
      </c>
      <c r="F41" s="445">
        <v>54592</v>
      </c>
      <c r="G41" s="414"/>
      <c r="H41" s="414"/>
      <c r="I41" s="414"/>
      <c r="J41" s="414"/>
      <c r="K41" s="445">
        <v>49952</v>
      </c>
      <c r="L41" s="445"/>
      <c r="M41" s="445"/>
      <c r="N41" s="445"/>
      <c r="O41" s="445"/>
      <c r="P41" s="445">
        <v>-24976</v>
      </c>
      <c r="Q41" s="446"/>
      <c r="R41" s="447"/>
      <c r="S41" s="447"/>
      <c r="T41" s="450">
        <f>P41</f>
        <v>-24976</v>
      </c>
      <c r="U41" s="756">
        <f t="shared" si="8"/>
        <v>0</v>
      </c>
      <c r="V41" s="142" t="s">
        <v>192</v>
      </c>
      <c r="W41" s="445">
        <v>-27296</v>
      </c>
      <c r="X41" s="413">
        <v>55019</v>
      </c>
      <c r="Y41" s="414"/>
      <c r="Z41" s="414"/>
      <c r="AA41" s="414"/>
      <c r="AB41" s="414"/>
      <c r="AC41" s="414"/>
      <c r="AD41" s="445">
        <v>-55019</v>
      </c>
      <c r="AE41" s="446"/>
      <c r="AF41" s="447"/>
      <c r="AG41" s="447"/>
      <c r="AH41" s="450">
        <v>-27296</v>
      </c>
      <c r="AI41" s="449"/>
      <c r="AJ41" s="448"/>
      <c r="AK41" s="142" t="s">
        <v>192</v>
      </c>
      <c r="AL41" s="440" t="s">
        <v>421</v>
      </c>
      <c r="AM41" s="128">
        <f t="shared" si="9"/>
        <v>0</v>
      </c>
      <c r="AU41" s="752">
        <f t="shared" si="15"/>
        <v>0</v>
      </c>
      <c r="AV41" s="207" t="str">
        <f t="shared" si="10"/>
        <v>OK</v>
      </c>
    </row>
    <row r="42" spans="1:48" ht="45" customHeight="1">
      <c r="A42" s="66">
        <v>31</v>
      </c>
      <c r="B42" s="99"/>
      <c r="C42" s="90" t="s">
        <v>716</v>
      </c>
      <c r="D42" s="50" t="s">
        <v>146</v>
      </c>
      <c r="E42" s="50"/>
      <c r="F42" s="445">
        <v>3925712</v>
      </c>
      <c r="G42" s="492"/>
      <c r="H42" s="492">
        <v>1523448</v>
      </c>
      <c r="I42" s="492">
        <v>2400000</v>
      </c>
      <c r="J42" s="492">
        <v>2264</v>
      </c>
      <c r="K42" s="445">
        <v>3458908</v>
      </c>
      <c r="L42" s="445"/>
      <c r="M42" s="445"/>
      <c r="N42" s="445"/>
      <c r="O42" s="445"/>
      <c r="P42" s="445">
        <v>-3458908</v>
      </c>
      <c r="Q42" s="446"/>
      <c r="R42" s="447">
        <v>-1316769</v>
      </c>
      <c r="S42" s="447">
        <v>-2141300</v>
      </c>
      <c r="T42" s="450">
        <v>-839</v>
      </c>
      <c r="U42" s="756">
        <f t="shared" si="8"/>
        <v>0</v>
      </c>
      <c r="V42" s="142" t="s">
        <v>155</v>
      </c>
      <c r="W42" s="445">
        <v>-3925712</v>
      </c>
      <c r="X42" s="413">
        <v>4395081</v>
      </c>
      <c r="Y42" s="492">
        <v>0</v>
      </c>
      <c r="Z42" s="492">
        <v>1650720</v>
      </c>
      <c r="AA42" s="492">
        <v>2744000</v>
      </c>
      <c r="AB42" s="492">
        <v>361</v>
      </c>
      <c r="AC42" s="492">
        <f aca="true" t="shared" si="19" ref="AC42:AC63">X42-Y42-Z42-AA42-AB42</f>
        <v>0</v>
      </c>
      <c r="AD42" s="445">
        <f>-X42</f>
        <v>-4395081</v>
      </c>
      <c r="AE42" s="446"/>
      <c r="AF42" s="447">
        <v>-1523448</v>
      </c>
      <c r="AG42" s="447">
        <v>-2400000</v>
      </c>
      <c r="AH42" s="450">
        <v>-2264</v>
      </c>
      <c r="AI42" s="449"/>
      <c r="AJ42" s="448"/>
      <c r="AK42" s="142" t="s">
        <v>155</v>
      </c>
      <c r="AL42" s="440" t="s">
        <v>421</v>
      </c>
      <c r="AM42" s="128">
        <f t="shared" si="9"/>
        <v>0</v>
      </c>
      <c r="AO42" s="35">
        <v>-1316769</v>
      </c>
      <c r="AP42" s="753">
        <v>0</v>
      </c>
      <c r="AQ42" s="754">
        <v>0</v>
      </c>
      <c r="AR42" s="754">
        <v>0</v>
      </c>
      <c r="AS42" s="754">
        <v>0</v>
      </c>
      <c r="AT42" s="754">
        <v>0</v>
      </c>
      <c r="AU42" s="752">
        <f aca="true" t="shared" si="20" ref="AU42:AU69">SUM(AO42:AT42)</f>
        <v>-1316769</v>
      </c>
      <c r="AV42" s="207" t="str">
        <f t="shared" si="10"/>
        <v>OK</v>
      </c>
    </row>
    <row r="43" spans="1:48" ht="42" customHeight="1">
      <c r="A43" s="66">
        <v>32</v>
      </c>
      <c r="B43" s="99"/>
      <c r="C43" s="93" t="s">
        <v>714</v>
      </c>
      <c r="D43" s="38" t="s">
        <v>715</v>
      </c>
      <c r="E43" s="50"/>
      <c r="F43" s="445">
        <v>34218</v>
      </c>
      <c r="G43" s="492">
        <v>14159</v>
      </c>
      <c r="H43" s="492"/>
      <c r="I43" s="492"/>
      <c r="J43" s="492">
        <v>20059</v>
      </c>
      <c r="K43" s="445">
        <v>27104</v>
      </c>
      <c r="L43" s="445">
        <v>7869</v>
      </c>
      <c r="M43" s="445"/>
      <c r="N43" s="445"/>
      <c r="O43" s="445">
        <v>19235</v>
      </c>
      <c r="P43" s="445">
        <v>-8131</v>
      </c>
      <c r="Q43" s="446">
        <v>-2361</v>
      </c>
      <c r="R43" s="447">
        <v>0</v>
      </c>
      <c r="S43" s="447">
        <v>0</v>
      </c>
      <c r="T43" s="450">
        <v>-5770</v>
      </c>
      <c r="U43" s="756">
        <f aca="true" t="shared" si="21" ref="U43:U70">P43-Q43-R43-S43-T43</f>
        <v>0</v>
      </c>
      <c r="V43" s="142" t="s">
        <v>309</v>
      </c>
      <c r="W43" s="445">
        <v>-11406</v>
      </c>
      <c r="X43" s="413">
        <v>36128</v>
      </c>
      <c r="Y43" s="492">
        <v>17807</v>
      </c>
      <c r="Z43" s="492">
        <v>0</v>
      </c>
      <c r="AA43" s="492">
        <v>0</v>
      </c>
      <c r="AB43" s="492">
        <v>18321</v>
      </c>
      <c r="AC43" s="492">
        <f t="shared" si="19"/>
        <v>0</v>
      </c>
      <c r="AD43" s="445">
        <v>-10838</v>
      </c>
      <c r="AE43" s="446">
        <v>-4720</v>
      </c>
      <c r="AF43" s="447"/>
      <c r="AG43" s="447"/>
      <c r="AH43" s="450">
        <v>-6686</v>
      </c>
      <c r="AI43" s="449"/>
      <c r="AJ43" s="448"/>
      <c r="AK43" s="142" t="s">
        <v>309</v>
      </c>
      <c r="AL43" s="440" t="s">
        <v>421</v>
      </c>
      <c r="AM43" s="128">
        <f aca="true" t="shared" si="22" ref="AM43:AM70">W43-AE43-AF43-AG43-AH43</f>
        <v>0</v>
      </c>
      <c r="AO43" s="753">
        <v>0</v>
      </c>
      <c r="AP43" s="753">
        <v>0</v>
      </c>
      <c r="AQ43" s="754">
        <v>0</v>
      </c>
      <c r="AR43" s="754">
        <v>0</v>
      </c>
      <c r="AS43" s="754">
        <v>0</v>
      </c>
      <c r="AT43" s="754">
        <v>0</v>
      </c>
      <c r="AU43" s="752">
        <f t="shared" si="20"/>
        <v>0</v>
      </c>
      <c r="AV43" s="207" t="str">
        <f aca="true" t="shared" si="23" ref="AV43:AV70">IF(R43=AU43,"OK","OUT")</f>
        <v>OK</v>
      </c>
    </row>
    <row r="44" spans="1:48" ht="41.25" customHeight="1" thickBot="1">
      <c r="A44" s="66">
        <v>33</v>
      </c>
      <c r="B44" s="99"/>
      <c r="C44" s="90" t="s">
        <v>149</v>
      </c>
      <c r="D44" s="56" t="s">
        <v>150</v>
      </c>
      <c r="E44" s="50" t="s">
        <v>151</v>
      </c>
      <c r="F44" s="445">
        <v>876838</v>
      </c>
      <c r="G44" s="765">
        <v>421174</v>
      </c>
      <c r="H44" s="490">
        <v>84234</v>
      </c>
      <c r="I44" s="490">
        <v>370000</v>
      </c>
      <c r="J44" s="490">
        <v>1430</v>
      </c>
      <c r="K44" s="445">
        <v>902940</v>
      </c>
      <c r="L44" s="445">
        <f>K44/2</f>
        <v>451470</v>
      </c>
      <c r="M44" s="445">
        <f>K44/10</f>
        <v>90294</v>
      </c>
      <c r="N44" s="445"/>
      <c r="O44" s="445">
        <f>K44-L44-M44</f>
        <v>361176</v>
      </c>
      <c r="P44" s="445">
        <v>-451470</v>
      </c>
      <c r="Q44" s="446">
        <v>-213750</v>
      </c>
      <c r="R44" s="447">
        <v>-42750</v>
      </c>
      <c r="S44" s="447">
        <v>-194500</v>
      </c>
      <c r="T44" s="450">
        <v>-470</v>
      </c>
      <c r="U44" s="756">
        <f t="shared" si="21"/>
        <v>0</v>
      </c>
      <c r="V44" s="142" t="s">
        <v>563</v>
      </c>
      <c r="W44" s="445">
        <v>-438419</v>
      </c>
      <c r="X44" s="413">
        <v>903203</v>
      </c>
      <c r="Y44" s="492">
        <v>447052</v>
      </c>
      <c r="Z44" s="492">
        <v>89412</v>
      </c>
      <c r="AA44" s="492">
        <v>355500</v>
      </c>
      <c r="AB44" s="492">
        <v>11239</v>
      </c>
      <c r="AC44" s="492">
        <f t="shared" si="19"/>
        <v>0</v>
      </c>
      <c r="AD44" s="445">
        <v>-451602</v>
      </c>
      <c r="AE44" s="446">
        <v>-210587</v>
      </c>
      <c r="AF44" s="447">
        <v>-42117</v>
      </c>
      <c r="AG44" s="447">
        <v>-185000</v>
      </c>
      <c r="AH44" s="450">
        <v>-715</v>
      </c>
      <c r="AI44" s="449"/>
      <c r="AJ44" s="448"/>
      <c r="AK44" s="142" t="s">
        <v>310</v>
      </c>
      <c r="AL44" s="440" t="s">
        <v>421</v>
      </c>
      <c r="AM44" s="128">
        <f t="shared" si="22"/>
        <v>0</v>
      </c>
      <c r="AO44" s="35">
        <v>-42750</v>
      </c>
      <c r="AP44" s="753">
        <v>0</v>
      </c>
      <c r="AQ44" s="753">
        <v>0</v>
      </c>
      <c r="AR44" s="753">
        <v>0</v>
      </c>
      <c r="AS44" s="753">
        <v>0</v>
      </c>
      <c r="AT44" s="753">
        <v>0</v>
      </c>
      <c r="AU44" s="752">
        <f t="shared" si="20"/>
        <v>-42750</v>
      </c>
      <c r="AV44" s="207" t="str">
        <f t="shared" si="23"/>
        <v>OK</v>
      </c>
    </row>
    <row r="45" spans="2:48" ht="31.5" customHeight="1" thickBot="1">
      <c r="B45" s="95"/>
      <c r="C45" s="96"/>
      <c r="D45" s="57"/>
      <c r="E45" s="57" t="s">
        <v>403</v>
      </c>
      <c r="F45" s="467">
        <f aca="true" t="shared" si="24" ref="F45:K45">SUM(F41:F44)</f>
        <v>4891360</v>
      </c>
      <c r="G45" s="373">
        <f t="shared" si="24"/>
        <v>435333</v>
      </c>
      <c r="H45" s="373">
        <f t="shared" si="24"/>
        <v>1607682</v>
      </c>
      <c r="I45" s="373">
        <f t="shared" si="24"/>
        <v>2770000</v>
      </c>
      <c r="J45" s="373">
        <f t="shared" si="24"/>
        <v>23753</v>
      </c>
      <c r="K45" s="467">
        <f t="shared" si="24"/>
        <v>4438904</v>
      </c>
      <c r="L45" s="467"/>
      <c r="M45" s="467"/>
      <c r="N45" s="467"/>
      <c r="O45" s="467"/>
      <c r="P45" s="467">
        <f>SUM(P41:P44)</f>
        <v>-3943485</v>
      </c>
      <c r="Q45" s="468">
        <f>SUM(Q41:Q44)</f>
        <v>-216111</v>
      </c>
      <c r="R45" s="464">
        <f>SUM(R41:R44)</f>
        <v>-1359519</v>
      </c>
      <c r="S45" s="464">
        <f>SUM(S41:S44)</f>
        <v>-2335800</v>
      </c>
      <c r="T45" s="465">
        <f>SUM(T41:T44)</f>
        <v>-32055</v>
      </c>
      <c r="U45" s="756">
        <f t="shared" si="21"/>
        <v>0</v>
      </c>
      <c r="V45" s="144"/>
      <c r="W45" s="467">
        <f aca="true" t="shared" si="25" ref="W45:AB45">SUM(W41:W44)</f>
        <v>-4402833</v>
      </c>
      <c r="X45" s="422">
        <f t="shared" si="25"/>
        <v>5389431</v>
      </c>
      <c r="Y45" s="373">
        <f t="shared" si="25"/>
        <v>464859</v>
      </c>
      <c r="Z45" s="373">
        <f t="shared" si="25"/>
        <v>1740132</v>
      </c>
      <c r="AA45" s="373">
        <f t="shared" si="25"/>
        <v>3099500</v>
      </c>
      <c r="AB45" s="373">
        <f t="shared" si="25"/>
        <v>29921</v>
      </c>
      <c r="AC45" s="492">
        <f t="shared" si="19"/>
        <v>55019</v>
      </c>
      <c r="AD45" s="467">
        <f>SUM(AD41:AD44)</f>
        <v>-4912540</v>
      </c>
      <c r="AE45" s="468">
        <f>SUM(AE41:AE44)</f>
        <v>-215307</v>
      </c>
      <c r="AF45" s="464">
        <f>SUM(AF41:AF44)</f>
        <v>-1565565</v>
      </c>
      <c r="AG45" s="464">
        <f>SUM(AG41:AG44)</f>
        <v>-2585000</v>
      </c>
      <c r="AH45" s="465">
        <f>SUM(AH41:AH44)</f>
        <v>-36961</v>
      </c>
      <c r="AI45" s="466"/>
      <c r="AJ45" s="465"/>
      <c r="AK45" s="144"/>
      <c r="AL45" s="440"/>
      <c r="AM45" s="128">
        <f t="shared" si="22"/>
        <v>0</v>
      </c>
      <c r="AO45" s="97">
        <f aca="true" t="shared" si="26" ref="AO45:AT45">SUM(AO41:AO44)</f>
        <v>-1359519</v>
      </c>
      <c r="AP45" s="97">
        <f t="shared" si="26"/>
        <v>0</v>
      </c>
      <c r="AQ45" s="97">
        <f t="shared" si="26"/>
        <v>0</v>
      </c>
      <c r="AR45" s="97">
        <f t="shared" si="26"/>
        <v>0</v>
      </c>
      <c r="AS45" s="97">
        <f t="shared" si="26"/>
        <v>0</v>
      </c>
      <c r="AT45" s="97">
        <f t="shared" si="26"/>
        <v>0</v>
      </c>
      <c r="AU45" s="752">
        <f t="shared" si="20"/>
        <v>-1359519</v>
      </c>
      <c r="AV45" s="207" t="str">
        <f t="shared" si="23"/>
        <v>OK</v>
      </c>
    </row>
    <row r="46" spans="1:48" ht="51.75" customHeight="1" thickBot="1">
      <c r="A46" s="66">
        <v>34</v>
      </c>
      <c r="B46" s="88" t="s">
        <v>169</v>
      </c>
      <c r="C46" s="98" t="s">
        <v>170</v>
      </c>
      <c r="D46" s="51" t="s">
        <v>557</v>
      </c>
      <c r="E46" s="38" t="s">
        <v>779</v>
      </c>
      <c r="F46" s="452">
        <v>2933416</v>
      </c>
      <c r="G46" s="416"/>
      <c r="H46" s="416"/>
      <c r="I46" s="416"/>
      <c r="J46" s="416">
        <v>2939216</v>
      </c>
      <c r="K46" s="452">
        <v>2897484</v>
      </c>
      <c r="L46" s="452"/>
      <c r="M46" s="452"/>
      <c r="N46" s="452"/>
      <c r="O46" s="452"/>
      <c r="P46" s="452">
        <f>-K46/2</f>
        <v>-1448742</v>
      </c>
      <c r="Q46" s="453"/>
      <c r="R46" s="454"/>
      <c r="S46" s="454"/>
      <c r="T46" s="455">
        <f>P46</f>
        <v>-1448742</v>
      </c>
      <c r="U46" s="756">
        <f t="shared" si="21"/>
        <v>0</v>
      </c>
      <c r="V46" s="129" t="s">
        <v>54</v>
      </c>
      <c r="W46" s="452">
        <v>-1469608</v>
      </c>
      <c r="X46" s="415">
        <v>3094705</v>
      </c>
      <c r="Y46" s="416"/>
      <c r="Z46" s="416"/>
      <c r="AA46" s="416"/>
      <c r="AB46" s="416"/>
      <c r="AC46" s="492">
        <f t="shared" si="19"/>
        <v>3094705</v>
      </c>
      <c r="AD46" s="452">
        <v>-1547000</v>
      </c>
      <c r="AE46" s="453"/>
      <c r="AF46" s="454"/>
      <c r="AG46" s="454"/>
      <c r="AH46" s="455">
        <v>-1469608</v>
      </c>
      <c r="AI46" s="456"/>
      <c r="AJ46" s="457"/>
      <c r="AK46" s="129" t="s">
        <v>54</v>
      </c>
      <c r="AL46" s="440" t="s">
        <v>421</v>
      </c>
      <c r="AM46" s="128">
        <f t="shared" si="22"/>
        <v>0</v>
      </c>
      <c r="AP46" s="25"/>
      <c r="AU46" s="752">
        <f t="shared" si="20"/>
        <v>0</v>
      </c>
      <c r="AV46" s="207" t="str">
        <f t="shared" si="23"/>
        <v>OK</v>
      </c>
    </row>
    <row r="47" spans="1:48" ht="38.25" customHeight="1" thickBot="1">
      <c r="A47" s="66">
        <v>35</v>
      </c>
      <c r="B47" s="89"/>
      <c r="C47" s="90" t="s">
        <v>768</v>
      </c>
      <c r="D47" s="51" t="s">
        <v>383</v>
      </c>
      <c r="E47" s="38"/>
      <c r="F47" s="445">
        <v>282190</v>
      </c>
      <c r="G47" s="623"/>
      <c r="H47" s="623">
        <v>6076</v>
      </c>
      <c r="I47" s="623"/>
      <c r="J47" s="623">
        <v>276114</v>
      </c>
      <c r="K47" s="445">
        <v>252623</v>
      </c>
      <c r="L47" s="445"/>
      <c r="M47" s="445">
        <v>4838</v>
      </c>
      <c r="N47" s="445"/>
      <c r="O47" s="445">
        <v>247785</v>
      </c>
      <c r="P47" s="445">
        <v>-101049</v>
      </c>
      <c r="Q47" s="453"/>
      <c r="R47" s="454">
        <v>-1935</v>
      </c>
      <c r="S47" s="454"/>
      <c r="T47" s="455">
        <v>-99114</v>
      </c>
      <c r="U47" s="756">
        <f t="shared" si="21"/>
        <v>0</v>
      </c>
      <c r="V47" s="129" t="s">
        <v>311</v>
      </c>
      <c r="W47" s="445">
        <v>-112876</v>
      </c>
      <c r="X47" s="415">
        <v>291348</v>
      </c>
      <c r="Y47" s="623"/>
      <c r="Z47" s="623">
        <v>4116</v>
      </c>
      <c r="AA47" s="623"/>
      <c r="AB47" s="623">
        <v>287232</v>
      </c>
      <c r="AC47" s="492">
        <f t="shared" si="19"/>
        <v>0</v>
      </c>
      <c r="AD47" s="445">
        <v>-116539</v>
      </c>
      <c r="AE47" s="453"/>
      <c r="AF47" s="454">
        <v>-2430</v>
      </c>
      <c r="AG47" s="454"/>
      <c r="AH47" s="455">
        <v>-110446</v>
      </c>
      <c r="AI47" s="456"/>
      <c r="AJ47" s="457"/>
      <c r="AK47" s="129" t="s">
        <v>311</v>
      </c>
      <c r="AL47" s="440" t="s">
        <v>421</v>
      </c>
      <c r="AM47" s="128">
        <f t="shared" si="22"/>
        <v>0</v>
      </c>
      <c r="AO47" s="66">
        <v>0</v>
      </c>
      <c r="AP47" s="35">
        <v>-873</v>
      </c>
      <c r="AQ47" s="66">
        <v>0</v>
      </c>
      <c r="AR47" s="66">
        <v>0</v>
      </c>
      <c r="AS47" s="66">
        <v>0</v>
      </c>
      <c r="AT47" s="35">
        <v>-1062</v>
      </c>
      <c r="AU47" s="752">
        <f t="shared" si="20"/>
        <v>-1935</v>
      </c>
      <c r="AV47" s="207" t="str">
        <f t="shared" si="23"/>
        <v>OK</v>
      </c>
    </row>
    <row r="48" spans="1:48" ht="37.5" customHeight="1">
      <c r="A48" s="66">
        <v>36</v>
      </c>
      <c r="B48" s="89"/>
      <c r="C48" s="90" t="s">
        <v>31</v>
      </c>
      <c r="D48" s="51" t="s">
        <v>32</v>
      </c>
      <c r="E48" s="38" t="s">
        <v>743</v>
      </c>
      <c r="F48" s="452">
        <v>3719012</v>
      </c>
      <c r="G48" s="416"/>
      <c r="H48" s="416"/>
      <c r="I48" s="416"/>
      <c r="J48" s="416"/>
      <c r="K48" s="452">
        <v>3752660</v>
      </c>
      <c r="L48" s="452"/>
      <c r="M48" s="452"/>
      <c r="N48" s="452"/>
      <c r="O48" s="452"/>
      <c r="P48" s="452">
        <v>-3752660</v>
      </c>
      <c r="Q48" s="453"/>
      <c r="R48" s="454"/>
      <c r="S48" s="454"/>
      <c r="T48" s="455">
        <f>P48</f>
        <v>-3752660</v>
      </c>
      <c r="U48" s="756">
        <f t="shared" si="21"/>
        <v>0</v>
      </c>
      <c r="V48" s="129" t="s">
        <v>745</v>
      </c>
      <c r="W48" s="452">
        <v>-3719012</v>
      </c>
      <c r="X48" s="415">
        <v>3571777</v>
      </c>
      <c r="Y48" s="416"/>
      <c r="Z48" s="416"/>
      <c r="AA48" s="416"/>
      <c r="AB48" s="416"/>
      <c r="AC48" s="492">
        <f t="shared" si="19"/>
        <v>3571777</v>
      </c>
      <c r="AD48" s="452">
        <v>-3571777</v>
      </c>
      <c r="AE48" s="453"/>
      <c r="AF48" s="454"/>
      <c r="AG48" s="454"/>
      <c r="AH48" s="455">
        <v>-3719012</v>
      </c>
      <c r="AI48" s="456"/>
      <c r="AJ48" s="457"/>
      <c r="AK48" s="129" t="s">
        <v>745</v>
      </c>
      <c r="AL48" s="440" t="s">
        <v>752</v>
      </c>
      <c r="AM48" s="128">
        <f t="shared" si="22"/>
        <v>0</v>
      </c>
      <c r="AU48" s="752">
        <f t="shared" si="20"/>
        <v>0</v>
      </c>
      <c r="AV48" s="207" t="str">
        <f t="shared" si="23"/>
        <v>OK</v>
      </c>
    </row>
    <row r="49" spans="1:48" ht="50.25" customHeight="1">
      <c r="A49" s="66">
        <v>37</v>
      </c>
      <c r="B49" s="99"/>
      <c r="C49" s="91"/>
      <c r="D49" s="56"/>
      <c r="E49" s="38" t="s">
        <v>744</v>
      </c>
      <c r="F49" s="452">
        <v>60815</v>
      </c>
      <c r="G49" s="416"/>
      <c r="H49" s="416"/>
      <c r="I49" s="416"/>
      <c r="J49" s="416"/>
      <c r="K49" s="452">
        <v>59440</v>
      </c>
      <c r="L49" s="452"/>
      <c r="M49" s="452"/>
      <c r="N49" s="452"/>
      <c r="O49" s="452"/>
      <c r="P49" s="452">
        <f>-K49</f>
        <v>-59440</v>
      </c>
      <c r="Q49" s="453"/>
      <c r="R49" s="454"/>
      <c r="S49" s="454"/>
      <c r="T49" s="455">
        <f>P49</f>
        <v>-59440</v>
      </c>
      <c r="U49" s="756">
        <f t="shared" si="21"/>
        <v>0</v>
      </c>
      <c r="V49" s="129"/>
      <c r="W49" s="452">
        <v>-60815</v>
      </c>
      <c r="X49" s="415">
        <v>55621</v>
      </c>
      <c r="Y49" s="416"/>
      <c r="Z49" s="416"/>
      <c r="AA49" s="416"/>
      <c r="AB49" s="416"/>
      <c r="AC49" s="492">
        <f t="shared" si="19"/>
        <v>55621</v>
      </c>
      <c r="AD49" s="452">
        <v>-55621</v>
      </c>
      <c r="AE49" s="453"/>
      <c r="AF49" s="454"/>
      <c r="AG49" s="454"/>
      <c r="AH49" s="455">
        <v>-60815</v>
      </c>
      <c r="AI49" s="456"/>
      <c r="AJ49" s="457"/>
      <c r="AK49" s="129"/>
      <c r="AL49" s="440" t="s">
        <v>421</v>
      </c>
      <c r="AM49" s="128">
        <f t="shared" si="22"/>
        <v>0</v>
      </c>
      <c r="AU49" s="752">
        <f t="shared" si="20"/>
        <v>0</v>
      </c>
      <c r="AV49" s="207" t="str">
        <f t="shared" si="23"/>
        <v>OK</v>
      </c>
    </row>
    <row r="50" spans="1:48" ht="50.25" customHeight="1">
      <c r="A50" s="66">
        <v>38</v>
      </c>
      <c r="B50" s="99"/>
      <c r="C50" s="91"/>
      <c r="D50" s="56"/>
      <c r="E50" s="38" t="s">
        <v>55</v>
      </c>
      <c r="F50" s="452">
        <v>2073</v>
      </c>
      <c r="G50" s="416"/>
      <c r="H50" s="416"/>
      <c r="I50" s="416"/>
      <c r="J50" s="416"/>
      <c r="K50" s="452">
        <v>2073</v>
      </c>
      <c r="L50" s="452"/>
      <c r="M50" s="452"/>
      <c r="N50" s="452"/>
      <c r="O50" s="452"/>
      <c r="P50" s="452">
        <f>-K50</f>
        <v>-2073</v>
      </c>
      <c r="Q50" s="453"/>
      <c r="R50" s="454"/>
      <c r="S50" s="454"/>
      <c r="T50" s="455">
        <v>-2073</v>
      </c>
      <c r="U50" s="756">
        <f t="shared" si="21"/>
        <v>0</v>
      </c>
      <c r="V50" s="129"/>
      <c r="W50" s="452">
        <v>-2073</v>
      </c>
      <c r="X50" s="415">
        <v>4073</v>
      </c>
      <c r="Y50" s="416"/>
      <c r="Z50" s="416"/>
      <c r="AA50" s="416"/>
      <c r="AB50" s="416"/>
      <c r="AC50" s="492">
        <f t="shared" si="19"/>
        <v>4073</v>
      </c>
      <c r="AD50" s="452">
        <v>-4073</v>
      </c>
      <c r="AE50" s="453"/>
      <c r="AF50" s="454"/>
      <c r="AG50" s="454"/>
      <c r="AH50" s="455">
        <v>-2073</v>
      </c>
      <c r="AI50" s="456"/>
      <c r="AJ50" s="457"/>
      <c r="AK50" s="129"/>
      <c r="AL50" s="440" t="s">
        <v>421</v>
      </c>
      <c r="AM50" s="128">
        <f t="shared" si="22"/>
        <v>0</v>
      </c>
      <c r="AU50" s="752">
        <f t="shared" si="20"/>
        <v>0</v>
      </c>
      <c r="AV50" s="207" t="str">
        <f t="shared" si="23"/>
        <v>OK</v>
      </c>
    </row>
    <row r="51" spans="1:48" ht="50.25" customHeight="1">
      <c r="A51" s="66">
        <v>39</v>
      </c>
      <c r="B51" s="99"/>
      <c r="C51" s="91"/>
      <c r="D51" s="56"/>
      <c r="E51" s="38" t="s">
        <v>690</v>
      </c>
      <c r="F51" s="452">
        <v>1121</v>
      </c>
      <c r="G51" s="416"/>
      <c r="H51" s="416"/>
      <c r="I51" s="416"/>
      <c r="J51" s="416"/>
      <c r="K51" s="452">
        <v>1121</v>
      </c>
      <c r="L51" s="452"/>
      <c r="M51" s="452"/>
      <c r="N51" s="452"/>
      <c r="O51" s="452"/>
      <c r="P51" s="452">
        <f>-K51</f>
        <v>-1121</v>
      </c>
      <c r="Q51" s="453"/>
      <c r="R51" s="454"/>
      <c r="S51" s="454"/>
      <c r="T51" s="455">
        <v>-1121</v>
      </c>
      <c r="U51" s="756">
        <f t="shared" si="21"/>
        <v>0</v>
      </c>
      <c r="V51" s="129"/>
      <c r="W51" s="452">
        <v>-1121</v>
      </c>
      <c r="X51" s="415">
        <v>1121</v>
      </c>
      <c r="Y51" s="416"/>
      <c r="Z51" s="416"/>
      <c r="AA51" s="416"/>
      <c r="AB51" s="416"/>
      <c r="AC51" s="492">
        <f t="shared" si="19"/>
        <v>1121</v>
      </c>
      <c r="AD51" s="452">
        <v>-1121</v>
      </c>
      <c r="AE51" s="453"/>
      <c r="AF51" s="454"/>
      <c r="AG51" s="454"/>
      <c r="AH51" s="455">
        <v>-1121</v>
      </c>
      <c r="AI51" s="456"/>
      <c r="AJ51" s="457"/>
      <c r="AK51" s="129"/>
      <c r="AL51" s="440" t="s">
        <v>421</v>
      </c>
      <c r="AM51" s="128">
        <f t="shared" si="22"/>
        <v>0</v>
      </c>
      <c r="AU51" s="752">
        <f t="shared" si="20"/>
        <v>0</v>
      </c>
      <c r="AV51" s="207" t="str">
        <f t="shared" si="23"/>
        <v>OK</v>
      </c>
    </row>
    <row r="52" spans="1:48" ht="50.25" customHeight="1">
      <c r="A52" s="66">
        <v>40</v>
      </c>
      <c r="B52" s="99"/>
      <c r="C52" s="91"/>
      <c r="D52" s="56"/>
      <c r="E52" s="38" t="s">
        <v>691</v>
      </c>
      <c r="F52" s="452">
        <v>1013</v>
      </c>
      <c r="G52" s="416"/>
      <c r="H52" s="416"/>
      <c r="I52" s="416"/>
      <c r="J52" s="416"/>
      <c r="K52" s="452">
        <v>1013</v>
      </c>
      <c r="L52" s="452"/>
      <c r="M52" s="452"/>
      <c r="N52" s="452"/>
      <c r="O52" s="452"/>
      <c r="P52" s="452">
        <f>-K52</f>
        <v>-1013</v>
      </c>
      <c r="Q52" s="453"/>
      <c r="R52" s="454"/>
      <c r="S52" s="454"/>
      <c r="T52" s="455">
        <v>-1013</v>
      </c>
      <c r="U52" s="756">
        <f t="shared" si="21"/>
        <v>0</v>
      </c>
      <c r="V52" s="129"/>
      <c r="W52" s="452">
        <v>-1013</v>
      </c>
      <c r="X52" s="415">
        <v>1013</v>
      </c>
      <c r="Y52" s="416"/>
      <c r="Z52" s="416"/>
      <c r="AA52" s="416"/>
      <c r="AB52" s="416"/>
      <c r="AC52" s="492">
        <f t="shared" si="19"/>
        <v>1013</v>
      </c>
      <c r="AD52" s="452">
        <v>-1013</v>
      </c>
      <c r="AE52" s="453"/>
      <c r="AF52" s="454"/>
      <c r="AG52" s="454"/>
      <c r="AH52" s="455">
        <v>-1013</v>
      </c>
      <c r="AI52" s="456"/>
      <c r="AJ52" s="457"/>
      <c r="AK52" s="129"/>
      <c r="AL52" s="440" t="s">
        <v>421</v>
      </c>
      <c r="AM52" s="128">
        <f t="shared" si="22"/>
        <v>0</v>
      </c>
      <c r="AU52" s="752">
        <f t="shared" si="20"/>
        <v>0</v>
      </c>
      <c r="AV52" s="207" t="str">
        <f t="shared" si="23"/>
        <v>OK</v>
      </c>
    </row>
    <row r="53" spans="1:48" ht="50.25" customHeight="1" thickBot="1">
      <c r="A53" s="66">
        <v>41</v>
      </c>
      <c r="B53" s="99"/>
      <c r="C53" s="91"/>
      <c r="D53" s="51" t="s">
        <v>39</v>
      </c>
      <c r="E53" s="51" t="s">
        <v>33</v>
      </c>
      <c r="F53" s="482">
        <v>56379</v>
      </c>
      <c r="G53" s="427"/>
      <c r="H53" s="427"/>
      <c r="I53" s="427"/>
      <c r="J53" s="427"/>
      <c r="K53" s="482">
        <v>65281</v>
      </c>
      <c r="L53" s="482"/>
      <c r="M53" s="482"/>
      <c r="N53" s="482"/>
      <c r="O53" s="482"/>
      <c r="P53" s="482">
        <v>-32641</v>
      </c>
      <c r="Q53" s="483"/>
      <c r="R53" s="484"/>
      <c r="S53" s="484"/>
      <c r="T53" s="487">
        <f>P53</f>
        <v>-32641</v>
      </c>
      <c r="U53" s="756">
        <f t="shared" si="21"/>
        <v>0</v>
      </c>
      <c r="V53" s="145" t="s">
        <v>34</v>
      </c>
      <c r="W53" s="482">
        <v>-28190</v>
      </c>
      <c r="X53" s="426">
        <v>63340</v>
      </c>
      <c r="Y53" s="427"/>
      <c r="Z53" s="427"/>
      <c r="AA53" s="427"/>
      <c r="AB53" s="427"/>
      <c r="AC53" s="492">
        <f t="shared" si="19"/>
        <v>63340</v>
      </c>
      <c r="AD53" s="482">
        <v>-32000</v>
      </c>
      <c r="AE53" s="483"/>
      <c r="AF53" s="484"/>
      <c r="AG53" s="484"/>
      <c r="AH53" s="487">
        <v>-28190</v>
      </c>
      <c r="AI53" s="486"/>
      <c r="AJ53" s="487"/>
      <c r="AK53" s="145" t="s">
        <v>34</v>
      </c>
      <c r="AL53" s="440" t="s">
        <v>421</v>
      </c>
      <c r="AM53" s="128">
        <f t="shared" si="22"/>
        <v>0</v>
      </c>
      <c r="AU53" s="752">
        <f t="shared" si="20"/>
        <v>0</v>
      </c>
      <c r="AV53" s="207" t="str">
        <f t="shared" si="23"/>
        <v>OK</v>
      </c>
    </row>
    <row r="54" spans="2:48" ht="37.5" customHeight="1" thickBot="1">
      <c r="B54" s="95"/>
      <c r="C54" s="96"/>
      <c r="D54" s="57"/>
      <c r="E54" s="57" t="s">
        <v>403</v>
      </c>
      <c r="F54" s="467">
        <f aca="true" t="shared" si="27" ref="F54:K54">SUM(F46:F53)</f>
        <v>7056019</v>
      </c>
      <c r="G54" s="373">
        <f t="shared" si="27"/>
        <v>0</v>
      </c>
      <c r="H54" s="373">
        <f t="shared" si="27"/>
        <v>6076</v>
      </c>
      <c r="I54" s="373">
        <f t="shared" si="27"/>
        <v>0</v>
      </c>
      <c r="J54" s="373">
        <f t="shared" si="27"/>
        <v>3215330</v>
      </c>
      <c r="K54" s="467">
        <f t="shared" si="27"/>
        <v>7031695</v>
      </c>
      <c r="L54" s="467"/>
      <c r="M54" s="467"/>
      <c r="N54" s="467"/>
      <c r="O54" s="467"/>
      <c r="P54" s="467">
        <f>SUM(P46:P53)</f>
        <v>-5398739</v>
      </c>
      <c r="Q54" s="468">
        <f>SUM(Q46:Q53)</f>
        <v>0</v>
      </c>
      <c r="R54" s="464">
        <f>SUM(R46:R53)</f>
        <v>-1935</v>
      </c>
      <c r="S54" s="464">
        <f>SUM(S46:S53)</f>
        <v>0</v>
      </c>
      <c r="T54" s="465">
        <f>SUM(T46:T53)</f>
        <v>-5396804</v>
      </c>
      <c r="U54" s="756">
        <f t="shared" si="21"/>
        <v>0</v>
      </c>
      <c r="V54" s="144"/>
      <c r="W54" s="467">
        <f>SUM(W46:W53)</f>
        <v>-5394708</v>
      </c>
      <c r="X54" s="422">
        <f>SUM(X46:X53)</f>
        <v>7082998</v>
      </c>
      <c r="Y54" s="373"/>
      <c r="Z54" s="373"/>
      <c r="AA54" s="373"/>
      <c r="AB54" s="373"/>
      <c r="AC54" s="492">
        <f t="shared" si="19"/>
        <v>7082998</v>
      </c>
      <c r="AD54" s="467">
        <f>SUM(AD46:AD53)</f>
        <v>-5329144</v>
      </c>
      <c r="AE54" s="468">
        <f>SUM(AE46:AE53)</f>
        <v>0</v>
      </c>
      <c r="AF54" s="464">
        <f>SUM(AF46:AF53)</f>
        <v>-2430</v>
      </c>
      <c r="AG54" s="464">
        <f>SUM(AG46:AG53)</f>
        <v>0</v>
      </c>
      <c r="AH54" s="465">
        <f>SUM(AH46:AH53)</f>
        <v>-5392278</v>
      </c>
      <c r="AI54" s="466"/>
      <c r="AJ54" s="465"/>
      <c r="AK54" s="144"/>
      <c r="AL54" s="440"/>
      <c r="AM54" s="128">
        <f t="shared" si="22"/>
        <v>0</v>
      </c>
      <c r="AO54" s="59">
        <f aca="true" t="shared" si="28" ref="AO54:AT54">SUM(AO46:AO53)</f>
        <v>0</v>
      </c>
      <c r="AP54" s="59">
        <f t="shared" si="28"/>
        <v>-873</v>
      </c>
      <c r="AQ54" s="59">
        <f t="shared" si="28"/>
        <v>0</v>
      </c>
      <c r="AR54" s="59">
        <f t="shared" si="28"/>
        <v>0</v>
      </c>
      <c r="AS54" s="59">
        <f t="shared" si="28"/>
        <v>0</v>
      </c>
      <c r="AT54" s="59">
        <f t="shared" si="28"/>
        <v>-1062</v>
      </c>
      <c r="AU54" s="752">
        <f t="shared" si="20"/>
        <v>-1935</v>
      </c>
      <c r="AV54" s="207" t="str">
        <f t="shared" si="23"/>
        <v>OK</v>
      </c>
    </row>
    <row r="55" spans="1:48" ht="72.75" customHeight="1">
      <c r="A55" s="66">
        <v>42</v>
      </c>
      <c r="B55" s="102" t="s">
        <v>285</v>
      </c>
      <c r="C55" s="98" t="s">
        <v>392</v>
      </c>
      <c r="D55" s="38" t="s">
        <v>444</v>
      </c>
      <c r="E55" s="38"/>
      <c r="F55" s="452">
        <v>2458810</v>
      </c>
      <c r="G55" s="416"/>
      <c r="H55" s="416"/>
      <c r="I55" s="416"/>
      <c r="J55" s="416"/>
      <c r="K55" s="452">
        <v>1979558</v>
      </c>
      <c r="L55" s="452"/>
      <c r="M55" s="452"/>
      <c r="N55" s="452"/>
      <c r="O55" s="452"/>
      <c r="P55" s="452">
        <v>-989779</v>
      </c>
      <c r="Q55" s="453"/>
      <c r="R55" s="454"/>
      <c r="S55" s="454"/>
      <c r="T55" s="455">
        <f>P55</f>
        <v>-989779</v>
      </c>
      <c r="U55" s="756">
        <f t="shared" si="21"/>
        <v>0</v>
      </c>
      <c r="V55" s="129" t="s">
        <v>312</v>
      </c>
      <c r="W55" s="452">
        <v>-1229405</v>
      </c>
      <c r="X55" s="415">
        <v>2981314</v>
      </c>
      <c r="Y55" s="416"/>
      <c r="Z55" s="416"/>
      <c r="AA55" s="416"/>
      <c r="AB55" s="416"/>
      <c r="AC55" s="492">
        <f t="shared" si="19"/>
        <v>2981314</v>
      </c>
      <c r="AD55" s="452">
        <v>-1490657</v>
      </c>
      <c r="AE55" s="453"/>
      <c r="AF55" s="454"/>
      <c r="AG55" s="454"/>
      <c r="AH55" s="455">
        <v>-1229405</v>
      </c>
      <c r="AI55" s="456"/>
      <c r="AJ55" s="457"/>
      <c r="AK55" s="129" t="s">
        <v>312</v>
      </c>
      <c r="AL55" s="440" t="s">
        <v>421</v>
      </c>
      <c r="AM55" s="128">
        <f t="shared" si="22"/>
        <v>0</v>
      </c>
      <c r="AO55" s="25"/>
      <c r="AS55" s="48"/>
      <c r="AU55" s="752">
        <f t="shared" si="20"/>
        <v>0</v>
      </c>
      <c r="AV55" s="207" t="str">
        <f t="shared" si="23"/>
        <v>OK</v>
      </c>
    </row>
    <row r="56" spans="1:48" ht="50.25" customHeight="1">
      <c r="A56" s="66">
        <v>43</v>
      </c>
      <c r="B56" s="89"/>
      <c r="C56" s="90" t="s">
        <v>313</v>
      </c>
      <c r="D56" s="38" t="s">
        <v>712</v>
      </c>
      <c r="E56" s="38"/>
      <c r="F56" s="445">
        <v>264542</v>
      </c>
      <c r="G56" s="416"/>
      <c r="H56" s="416">
        <v>25527</v>
      </c>
      <c r="I56" s="416"/>
      <c r="J56" s="416">
        <v>239015</v>
      </c>
      <c r="K56" s="445">
        <v>389585</v>
      </c>
      <c r="L56" s="445"/>
      <c r="M56" s="445">
        <v>25545</v>
      </c>
      <c r="N56" s="445"/>
      <c r="O56" s="445">
        <v>364040</v>
      </c>
      <c r="P56" s="445">
        <v>-136355</v>
      </c>
      <c r="Q56" s="446"/>
      <c r="R56" s="447">
        <v>-8941</v>
      </c>
      <c r="S56" s="447"/>
      <c r="T56" s="450">
        <v>-127414</v>
      </c>
      <c r="U56" s="756">
        <f t="shared" si="21"/>
        <v>0</v>
      </c>
      <c r="V56" s="129" t="s">
        <v>314</v>
      </c>
      <c r="W56" s="445">
        <v>-92589</v>
      </c>
      <c r="X56" s="415">
        <v>281532</v>
      </c>
      <c r="Y56" s="416"/>
      <c r="Z56" s="416">
        <v>24527</v>
      </c>
      <c r="AA56" s="416"/>
      <c r="AB56" s="416">
        <v>257005</v>
      </c>
      <c r="AC56" s="492">
        <f t="shared" si="19"/>
        <v>0</v>
      </c>
      <c r="AD56" s="445">
        <v>-98500</v>
      </c>
      <c r="AE56" s="446"/>
      <c r="AF56" s="447">
        <v>-8934</v>
      </c>
      <c r="AG56" s="447"/>
      <c r="AH56" s="450">
        <v>-83655</v>
      </c>
      <c r="AI56" s="456"/>
      <c r="AJ56" s="457"/>
      <c r="AK56" s="129" t="s">
        <v>314</v>
      </c>
      <c r="AL56" s="440" t="s">
        <v>421</v>
      </c>
      <c r="AM56" s="128">
        <f t="shared" si="22"/>
        <v>0</v>
      </c>
      <c r="AO56" s="66">
        <v>-5434</v>
      </c>
      <c r="AT56" s="66">
        <v>-3507</v>
      </c>
      <c r="AU56" s="752">
        <f t="shared" si="20"/>
        <v>-8941</v>
      </c>
      <c r="AV56" s="207" t="str">
        <f t="shared" si="23"/>
        <v>OK</v>
      </c>
    </row>
    <row r="57" spans="1:48" ht="50.25" customHeight="1">
      <c r="A57" s="66">
        <v>44</v>
      </c>
      <c r="B57" s="99"/>
      <c r="C57" s="440"/>
      <c r="D57" s="38" t="s">
        <v>73</v>
      </c>
      <c r="E57" s="38" t="s">
        <v>76</v>
      </c>
      <c r="F57" s="452">
        <v>3827390</v>
      </c>
      <c r="G57" s="416"/>
      <c r="H57" s="416"/>
      <c r="I57" s="416">
        <v>3826600</v>
      </c>
      <c r="J57" s="416">
        <v>790</v>
      </c>
      <c r="K57" s="452">
        <v>3827390</v>
      </c>
      <c r="L57" s="452"/>
      <c r="M57" s="452"/>
      <c r="N57" s="452"/>
      <c r="O57" s="452"/>
      <c r="P57" s="452">
        <v>-3827390</v>
      </c>
      <c r="Q57" s="453"/>
      <c r="R57" s="454"/>
      <c r="S57" s="454">
        <v>-3826500</v>
      </c>
      <c r="T57" s="455">
        <v>-890</v>
      </c>
      <c r="U57" s="756">
        <f t="shared" si="21"/>
        <v>0</v>
      </c>
      <c r="V57" s="129" t="s">
        <v>74</v>
      </c>
      <c r="W57" s="452">
        <v>-3827390</v>
      </c>
      <c r="X57" s="415">
        <v>3827390</v>
      </c>
      <c r="Y57" s="416"/>
      <c r="Z57" s="416"/>
      <c r="AA57" s="416"/>
      <c r="AB57" s="416"/>
      <c r="AC57" s="492">
        <f t="shared" si="19"/>
        <v>3827390</v>
      </c>
      <c r="AD57" s="452">
        <v>-3827390</v>
      </c>
      <c r="AE57" s="453"/>
      <c r="AF57" s="454"/>
      <c r="AG57" s="454">
        <v>-3826600</v>
      </c>
      <c r="AH57" s="455">
        <v>-790</v>
      </c>
      <c r="AI57" s="456"/>
      <c r="AJ57" s="457"/>
      <c r="AK57" s="129" t="s">
        <v>74</v>
      </c>
      <c r="AL57" s="440" t="s">
        <v>421</v>
      </c>
      <c r="AM57" s="128">
        <f t="shared" si="22"/>
        <v>0</v>
      </c>
      <c r="AO57" s="25"/>
      <c r="AU57" s="752">
        <f t="shared" si="20"/>
        <v>0</v>
      </c>
      <c r="AV57" s="207" t="str">
        <f t="shared" si="23"/>
        <v>OK</v>
      </c>
    </row>
    <row r="58" spans="1:48" ht="50.25" customHeight="1">
      <c r="A58" s="66">
        <v>45</v>
      </c>
      <c r="B58" s="99"/>
      <c r="C58" s="91"/>
      <c r="D58" s="51" t="s">
        <v>372</v>
      </c>
      <c r="E58" s="38" t="s">
        <v>520</v>
      </c>
      <c r="F58" s="452">
        <v>301000</v>
      </c>
      <c r="G58" s="416"/>
      <c r="H58" s="416">
        <v>301000</v>
      </c>
      <c r="I58" s="416"/>
      <c r="J58" s="416"/>
      <c r="K58" s="452">
        <v>138000</v>
      </c>
      <c r="L58" s="452"/>
      <c r="M58" s="452"/>
      <c r="N58" s="452"/>
      <c r="O58" s="452"/>
      <c r="P58" s="452">
        <v>-138000</v>
      </c>
      <c r="Q58" s="453"/>
      <c r="R58" s="454">
        <v>-138000</v>
      </c>
      <c r="S58" s="454"/>
      <c r="T58" s="455"/>
      <c r="U58" s="756">
        <f t="shared" si="21"/>
        <v>0</v>
      </c>
      <c r="V58" s="129" t="s">
        <v>36</v>
      </c>
      <c r="W58" s="452">
        <v>-301000</v>
      </c>
      <c r="X58" s="415">
        <v>382000</v>
      </c>
      <c r="Y58" s="416"/>
      <c r="Z58" s="416"/>
      <c r="AA58" s="416"/>
      <c r="AB58" s="416"/>
      <c r="AC58" s="492">
        <f t="shared" si="19"/>
        <v>382000</v>
      </c>
      <c r="AD58" s="452">
        <v>-382000</v>
      </c>
      <c r="AE58" s="453"/>
      <c r="AF58" s="454">
        <v>-301000</v>
      </c>
      <c r="AG58" s="454"/>
      <c r="AH58" s="455"/>
      <c r="AI58" s="456"/>
      <c r="AJ58" s="457"/>
      <c r="AK58" s="129" t="s">
        <v>36</v>
      </c>
      <c r="AL58" s="440" t="s">
        <v>421</v>
      </c>
      <c r="AM58" s="128">
        <f t="shared" si="22"/>
        <v>0</v>
      </c>
      <c r="AO58" s="25"/>
      <c r="AT58" s="48">
        <v>-138000</v>
      </c>
      <c r="AU58" s="752">
        <f t="shared" si="20"/>
        <v>-138000</v>
      </c>
      <c r="AV58" s="207" t="str">
        <f t="shared" si="23"/>
        <v>OK</v>
      </c>
    </row>
    <row r="59" spans="1:48" ht="32.25" customHeight="1">
      <c r="A59" s="66">
        <v>46</v>
      </c>
      <c r="B59" s="99"/>
      <c r="C59" s="91"/>
      <c r="D59" s="56"/>
      <c r="E59" s="38" t="s">
        <v>372</v>
      </c>
      <c r="F59" s="452">
        <v>580</v>
      </c>
      <c r="G59" s="416"/>
      <c r="H59" s="416"/>
      <c r="I59" s="416"/>
      <c r="J59" s="416">
        <v>580</v>
      </c>
      <c r="K59" s="452">
        <v>580</v>
      </c>
      <c r="L59" s="452"/>
      <c r="M59" s="452"/>
      <c r="N59" s="452"/>
      <c r="O59" s="452"/>
      <c r="P59" s="452">
        <v>-580</v>
      </c>
      <c r="Q59" s="453"/>
      <c r="R59" s="454"/>
      <c r="S59" s="454"/>
      <c r="T59" s="455">
        <v>-580</v>
      </c>
      <c r="U59" s="756">
        <f t="shared" si="21"/>
        <v>0</v>
      </c>
      <c r="V59" s="129"/>
      <c r="W59" s="452">
        <v>-580</v>
      </c>
      <c r="X59" s="415">
        <v>780</v>
      </c>
      <c r="Y59" s="416"/>
      <c r="Z59" s="416"/>
      <c r="AA59" s="416"/>
      <c r="AB59" s="416"/>
      <c r="AC59" s="492">
        <f t="shared" si="19"/>
        <v>780</v>
      </c>
      <c r="AD59" s="452">
        <v>-780</v>
      </c>
      <c r="AE59" s="453"/>
      <c r="AF59" s="454"/>
      <c r="AG59" s="454"/>
      <c r="AH59" s="455">
        <v>-580</v>
      </c>
      <c r="AI59" s="456"/>
      <c r="AJ59" s="457"/>
      <c r="AK59" s="129"/>
      <c r="AL59" s="440" t="s">
        <v>421</v>
      </c>
      <c r="AM59" s="128">
        <f t="shared" si="22"/>
        <v>0</v>
      </c>
      <c r="AO59" s="25"/>
      <c r="AU59" s="752">
        <f t="shared" si="20"/>
        <v>0</v>
      </c>
      <c r="AV59" s="207" t="str">
        <f t="shared" si="23"/>
        <v>OK</v>
      </c>
    </row>
    <row r="60" spans="1:48" ht="50.25" customHeight="1">
      <c r="A60" s="66">
        <v>47</v>
      </c>
      <c r="B60" s="99"/>
      <c r="C60" s="91"/>
      <c r="D60" s="51" t="s">
        <v>202</v>
      </c>
      <c r="E60" s="38" t="s">
        <v>417</v>
      </c>
      <c r="F60" s="445">
        <v>446700</v>
      </c>
      <c r="G60" s="490"/>
      <c r="H60" s="490"/>
      <c r="I60" s="490"/>
      <c r="J60" s="491"/>
      <c r="K60" s="445">
        <v>429500</v>
      </c>
      <c r="L60" s="445"/>
      <c r="M60" s="445"/>
      <c r="N60" s="445"/>
      <c r="O60" s="445"/>
      <c r="P60" s="445">
        <v>-429500</v>
      </c>
      <c r="Q60" s="453"/>
      <c r="R60" s="454"/>
      <c r="S60" s="454"/>
      <c r="T60" s="455">
        <v>-429500</v>
      </c>
      <c r="U60" s="756">
        <f t="shared" si="21"/>
        <v>0</v>
      </c>
      <c r="V60" s="129" t="s">
        <v>757</v>
      </c>
      <c r="W60" s="445">
        <v>-446700</v>
      </c>
      <c r="X60" s="415">
        <v>189000</v>
      </c>
      <c r="Y60" s="490"/>
      <c r="Z60" s="490"/>
      <c r="AA60" s="490"/>
      <c r="AB60" s="491"/>
      <c r="AC60" s="492">
        <f t="shared" si="19"/>
        <v>189000</v>
      </c>
      <c r="AD60" s="445">
        <v>-189000</v>
      </c>
      <c r="AE60" s="453"/>
      <c r="AF60" s="454"/>
      <c r="AG60" s="454">
        <v>-445000</v>
      </c>
      <c r="AH60" s="455">
        <v>-1700</v>
      </c>
      <c r="AI60" s="456"/>
      <c r="AJ60" s="457"/>
      <c r="AK60" s="129" t="s">
        <v>757</v>
      </c>
      <c r="AL60" s="440" t="s">
        <v>421</v>
      </c>
      <c r="AM60" s="128">
        <f t="shared" si="22"/>
        <v>0</v>
      </c>
      <c r="AO60" s="25"/>
      <c r="AU60" s="752">
        <f t="shared" si="20"/>
        <v>0</v>
      </c>
      <c r="AV60" s="207" t="str">
        <f t="shared" si="23"/>
        <v>OK</v>
      </c>
    </row>
    <row r="61" spans="1:48" ht="50.25" customHeight="1">
      <c r="A61" s="66">
        <v>48</v>
      </c>
      <c r="B61" s="99"/>
      <c r="C61" s="91"/>
      <c r="D61" s="38" t="s">
        <v>783</v>
      </c>
      <c r="E61" s="38"/>
      <c r="F61" s="452">
        <v>30000</v>
      </c>
      <c r="G61" s="764"/>
      <c r="H61" s="764"/>
      <c r="I61" s="617"/>
      <c r="J61" s="617">
        <v>30000</v>
      </c>
      <c r="K61" s="452">
        <v>33000</v>
      </c>
      <c r="L61" s="452"/>
      <c r="M61" s="452"/>
      <c r="N61" s="452"/>
      <c r="O61" s="452"/>
      <c r="P61" s="452">
        <v>-33000</v>
      </c>
      <c r="Q61" s="453"/>
      <c r="R61" s="454"/>
      <c r="S61" s="454"/>
      <c r="T61" s="455">
        <v>-33000</v>
      </c>
      <c r="U61" s="756">
        <f t="shared" si="21"/>
        <v>0</v>
      </c>
      <c r="V61" s="129" t="s">
        <v>798</v>
      </c>
      <c r="W61" s="452">
        <v>-20000</v>
      </c>
      <c r="X61" s="415">
        <v>30000</v>
      </c>
      <c r="Y61" s="764"/>
      <c r="Z61" s="764"/>
      <c r="AA61" s="764"/>
      <c r="AB61" s="764"/>
      <c r="AC61" s="492">
        <f t="shared" si="19"/>
        <v>30000</v>
      </c>
      <c r="AD61" s="452">
        <v>-30000</v>
      </c>
      <c r="AE61" s="453"/>
      <c r="AF61" s="454"/>
      <c r="AG61" s="454"/>
      <c r="AH61" s="455">
        <v>-20000</v>
      </c>
      <c r="AI61" s="456"/>
      <c r="AJ61" s="457"/>
      <c r="AK61" s="129" t="s">
        <v>798</v>
      </c>
      <c r="AL61" s="440" t="s">
        <v>421</v>
      </c>
      <c r="AM61" s="128">
        <f t="shared" si="22"/>
        <v>0</v>
      </c>
      <c r="AO61" s="25"/>
      <c r="AU61" s="752">
        <f t="shared" si="20"/>
        <v>0</v>
      </c>
      <c r="AV61" s="207" t="str">
        <f t="shared" si="23"/>
        <v>OK</v>
      </c>
    </row>
    <row r="62" spans="1:48" ht="50.25" customHeight="1">
      <c r="A62" s="66">
        <v>49</v>
      </c>
      <c r="B62" s="99"/>
      <c r="C62" s="90" t="s">
        <v>313</v>
      </c>
      <c r="D62" s="38" t="s">
        <v>204</v>
      </c>
      <c r="E62" s="38" t="s">
        <v>205</v>
      </c>
      <c r="F62" s="445">
        <v>3878980</v>
      </c>
      <c r="G62" s="490">
        <v>21000</v>
      </c>
      <c r="H62" s="490">
        <v>22690</v>
      </c>
      <c r="I62" s="490">
        <v>3591600</v>
      </c>
      <c r="J62" s="490">
        <v>243690</v>
      </c>
      <c r="K62" s="445">
        <v>3560700</v>
      </c>
      <c r="L62" s="445">
        <v>21000</v>
      </c>
      <c r="M62" s="445">
        <v>19440</v>
      </c>
      <c r="N62" s="445">
        <v>3081100</v>
      </c>
      <c r="O62" s="445">
        <v>439160</v>
      </c>
      <c r="P62" s="445">
        <v>-1780350</v>
      </c>
      <c r="Q62" s="446">
        <v>-10500</v>
      </c>
      <c r="R62" s="446">
        <v>-9720</v>
      </c>
      <c r="S62" s="454">
        <v>-1540500</v>
      </c>
      <c r="T62" s="455">
        <v>-219630</v>
      </c>
      <c r="U62" s="756">
        <f t="shared" si="21"/>
        <v>0</v>
      </c>
      <c r="V62" s="129" t="s">
        <v>315</v>
      </c>
      <c r="W62" s="445">
        <v>-1939490</v>
      </c>
      <c r="X62" s="415">
        <v>4801495</v>
      </c>
      <c r="Y62" s="490">
        <v>890766</v>
      </c>
      <c r="Z62" s="490">
        <v>6711</v>
      </c>
      <c r="AA62" s="490">
        <v>3887200</v>
      </c>
      <c r="AB62" s="491">
        <v>16818</v>
      </c>
      <c r="AC62" s="492">
        <f t="shared" si="19"/>
        <v>0</v>
      </c>
      <c r="AD62" s="445">
        <v>-2400000</v>
      </c>
      <c r="AE62" s="446">
        <v>-10500</v>
      </c>
      <c r="AF62" s="446">
        <v>-11345</v>
      </c>
      <c r="AG62" s="454">
        <v>-1795800</v>
      </c>
      <c r="AH62" s="455">
        <v>-121845</v>
      </c>
      <c r="AI62" s="456"/>
      <c r="AJ62" s="457"/>
      <c r="AK62" s="129" t="s">
        <v>315</v>
      </c>
      <c r="AL62" s="440" t="s">
        <v>421</v>
      </c>
      <c r="AM62" s="128">
        <f t="shared" si="22"/>
        <v>0</v>
      </c>
      <c r="AO62" s="34">
        <v>-9720</v>
      </c>
      <c r="AP62" s="753">
        <v>0</v>
      </c>
      <c r="AQ62" s="753">
        <v>0</v>
      </c>
      <c r="AR62" s="753">
        <v>0</v>
      </c>
      <c r="AS62" s="753">
        <v>0</v>
      </c>
      <c r="AT62" s="753">
        <v>0</v>
      </c>
      <c r="AU62" s="752">
        <f t="shared" si="20"/>
        <v>-9720</v>
      </c>
      <c r="AV62" s="207" t="str">
        <f t="shared" si="23"/>
        <v>OK</v>
      </c>
    </row>
    <row r="63" spans="1:48" ht="77.25" customHeight="1">
      <c r="A63" s="66">
        <v>50</v>
      </c>
      <c r="B63" s="99"/>
      <c r="C63" s="90" t="s">
        <v>206</v>
      </c>
      <c r="D63" s="38" t="s">
        <v>207</v>
      </c>
      <c r="E63" s="38" t="s">
        <v>208</v>
      </c>
      <c r="F63" s="445">
        <v>18795443</v>
      </c>
      <c r="G63" s="490">
        <v>9589100</v>
      </c>
      <c r="H63" s="490">
        <v>529443</v>
      </c>
      <c r="I63" s="490">
        <v>8128200</v>
      </c>
      <c r="J63" s="491">
        <v>548700</v>
      </c>
      <c r="K63" s="445">
        <v>12949000</v>
      </c>
      <c r="L63" s="445">
        <v>6501900</v>
      </c>
      <c r="M63" s="445">
        <v>290000</v>
      </c>
      <c r="N63" s="445">
        <v>5804400</v>
      </c>
      <c r="O63" s="445">
        <v>352700</v>
      </c>
      <c r="P63" s="445">
        <v>-6474500</v>
      </c>
      <c r="Q63" s="446">
        <v>-3250950</v>
      </c>
      <c r="R63" s="454">
        <v>-145000</v>
      </c>
      <c r="S63" s="454">
        <v>-2902200</v>
      </c>
      <c r="T63" s="455">
        <v>-176350</v>
      </c>
      <c r="U63" s="756">
        <f t="shared" si="21"/>
        <v>0</v>
      </c>
      <c r="V63" s="129" t="s">
        <v>316</v>
      </c>
      <c r="W63" s="445">
        <v>-9397722</v>
      </c>
      <c r="X63" s="415">
        <v>10212138</v>
      </c>
      <c r="Y63" s="490">
        <v>5657152</v>
      </c>
      <c r="Z63" s="490">
        <v>276509</v>
      </c>
      <c r="AA63" s="490">
        <v>4277800</v>
      </c>
      <c r="AB63" s="491">
        <v>677</v>
      </c>
      <c r="AC63" s="492">
        <f t="shared" si="19"/>
        <v>0</v>
      </c>
      <c r="AD63" s="445">
        <v>-5106000</v>
      </c>
      <c r="AE63" s="446">
        <v>-4794550</v>
      </c>
      <c r="AF63" s="454">
        <v>-264722</v>
      </c>
      <c r="AG63" s="454">
        <v>-4064100</v>
      </c>
      <c r="AH63" s="455">
        <v>-274350</v>
      </c>
      <c r="AI63" s="456"/>
      <c r="AJ63" s="457"/>
      <c r="AK63" s="129" t="s">
        <v>316</v>
      </c>
      <c r="AL63" s="440" t="s">
        <v>421</v>
      </c>
      <c r="AM63" s="128">
        <f t="shared" si="22"/>
        <v>0</v>
      </c>
      <c r="AO63" s="48">
        <v>-145000</v>
      </c>
      <c r="AP63" s="753">
        <v>0</v>
      </c>
      <c r="AQ63" s="753">
        <v>0</v>
      </c>
      <c r="AR63" s="753">
        <v>0</v>
      </c>
      <c r="AS63" s="753">
        <v>0</v>
      </c>
      <c r="AT63" s="753">
        <v>0</v>
      </c>
      <c r="AU63" s="752">
        <f t="shared" si="20"/>
        <v>-145000</v>
      </c>
      <c r="AV63" s="207" t="str">
        <f t="shared" si="23"/>
        <v>OK</v>
      </c>
    </row>
    <row r="64" spans="1:48" ht="50.25" customHeight="1">
      <c r="A64" s="66">
        <v>51</v>
      </c>
      <c r="B64" s="99"/>
      <c r="C64" s="91"/>
      <c r="D64" s="38" t="s">
        <v>409</v>
      </c>
      <c r="E64" s="38" t="s">
        <v>410</v>
      </c>
      <c r="F64" s="445">
        <v>4100908</v>
      </c>
      <c r="G64" s="490"/>
      <c r="H64" s="490">
        <v>10300</v>
      </c>
      <c r="I64" s="490">
        <v>4088000</v>
      </c>
      <c r="J64" s="491">
        <v>2608</v>
      </c>
      <c r="K64" s="445">
        <v>4114346</v>
      </c>
      <c r="L64" s="445"/>
      <c r="M64" s="445">
        <v>10800</v>
      </c>
      <c r="N64" s="445">
        <v>4098600</v>
      </c>
      <c r="O64" s="445">
        <v>4946</v>
      </c>
      <c r="P64" s="445">
        <v>-1440021</v>
      </c>
      <c r="Q64" s="446">
        <v>0</v>
      </c>
      <c r="R64" s="454">
        <v>-3780</v>
      </c>
      <c r="S64" s="454">
        <v>-1434500</v>
      </c>
      <c r="T64" s="455">
        <v>-1741</v>
      </c>
      <c r="U64" s="756">
        <f t="shared" si="21"/>
        <v>0</v>
      </c>
      <c r="V64" s="129" t="s">
        <v>317</v>
      </c>
      <c r="W64" s="445">
        <v>-1435318</v>
      </c>
      <c r="X64" s="415">
        <v>8480808</v>
      </c>
      <c r="Y64" s="490">
        <v>0</v>
      </c>
      <c r="Z64" s="490">
        <v>470</v>
      </c>
      <c r="AA64" s="490">
        <v>8471800</v>
      </c>
      <c r="AB64" s="491">
        <v>8538</v>
      </c>
      <c r="AC64" s="492">
        <v>0</v>
      </c>
      <c r="AD64" s="445">
        <v>-2968000</v>
      </c>
      <c r="AE64" s="446">
        <v>0</v>
      </c>
      <c r="AF64" s="454">
        <v>-3605</v>
      </c>
      <c r="AG64" s="454">
        <v>-1430800</v>
      </c>
      <c r="AH64" s="455">
        <v>-913</v>
      </c>
      <c r="AI64" s="456"/>
      <c r="AJ64" s="457"/>
      <c r="AK64" s="129" t="s">
        <v>317</v>
      </c>
      <c r="AL64" s="440" t="s">
        <v>421</v>
      </c>
      <c r="AM64" s="128">
        <f t="shared" si="22"/>
        <v>0</v>
      </c>
      <c r="AO64" s="48">
        <v>-3780</v>
      </c>
      <c r="AP64" s="753">
        <v>0</v>
      </c>
      <c r="AQ64" s="753">
        <v>0</v>
      </c>
      <c r="AR64" s="753">
        <v>0</v>
      </c>
      <c r="AS64" s="753">
        <v>0</v>
      </c>
      <c r="AT64" s="753">
        <v>0</v>
      </c>
      <c r="AU64" s="752">
        <f t="shared" si="20"/>
        <v>-3780</v>
      </c>
      <c r="AV64" s="207" t="str">
        <f t="shared" si="23"/>
        <v>OK</v>
      </c>
    </row>
    <row r="65" spans="1:48" ht="57.75" customHeight="1">
      <c r="A65" s="66">
        <v>52</v>
      </c>
      <c r="B65" s="99"/>
      <c r="C65" s="92"/>
      <c r="D65" s="38" t="s">
        <v>411</v>
      </c>
      <c r="E65" s="38" t="s">
        <v>210</v>
      </c>
      <c r="F65" s="452">
        <v>8263870</v>
      </c>
      <c r="G65" s="764"/>
      <c r="H65" s="764"/>
      <c r="I65" s="617">
        <v>8255400</v>
      </c>
      <c r="J65" s="617">
        <v>8470</v>
      </c>
      <c r="K65" s="452">
        <v>7487000</v>
      </c>
      <c r="L65" s="452"/>
      <c r="M65" s="452"/>
      <c r="N65" s="452">
        <v>7478300</v>
      </c>
      <c r="O65" s="452">
        <v>8700</v>
      </c>
      <c r="P65" s="452">
        <v>-7487000</v>
      </c>
      <c r="Q65" s="453">
        <v>0</v>
      </c>
      <c r="R65" s="454">
        <v>0</v>
      </c>
      <c r="S65" s="454">
        <v>-7478300</v>
      </c>
      <c r="T65" s="455">
        <v>-8700</v>
      </c>
      <c r="U65" s="756">
        <f t="shared" si="21"/>
        <v>0</v>
      </c>
      <c r="V65" s="129" t="s">
        <v>77</v>
      </c>
      <c r="W65" s="452">
        <v>-8263870</v>
      </c>
      <c r="X65" s="415">
        <v>12159555</v>
      </c>
      <c r="Y65" s="764"/>
      <c r="Z65" s="764"/>
      <c r="AA65" s="764"/>
      <c r="AB65" s="764"/>
      <c r="AC65" s="492">
        <f>X65-Y65-Z65-AA65-AB65</f>
        <v>12159555</v>
      </c>
      <c r="AD65" s="452">
        <v>-12159555</v>
      </c>
      <c r="AE65" s="453"/>
      <c r="AF65" s="454"/>
      <c r="AG65" s="454">
        <v>-8255400</v>
      </c>
      <c r="AH65" s="455">
        <v>-8470</v>
      </c>
      <c r="AI65" s="456"/>
      <c r="AJ65" s="457"/>
      <c r="AK65" s="129" t="s">
        <v>77</v>
      </c>
      <c r="AL65" s="440" t="s">
        <v>421</v>
      </c>
      <c r="AM65" s="128">
        <f t="shared" si="22"/>
        <v>0</v>
      </c>
      <c r="AO65" s="753"/>
      <c r="AP65" s="753"/>
      <c r="AQ65" s="753"/>
      <c r="AR65" s="753"/>
      <c r="AS65" s="753"/>
      <c r="AT65" s="753"/>
      <c r="AU65" s="752">
        <f t="shared" si="20"/>
        <v>0</v>
      </c>
      <c r="AV65" s="207" t="str">
        <f t="shared" si="23"/>
        <v>OK</v>
      </c>
    </row>
    <row r="66" spans="1:48" ht="57.75" customHeight="1">
      <c r="A66" s="66">
        <v>53</v>
      </c>
      <c r="B66" s="99"/>
      <c r="C66" s="90" t="s">
        <v>526</v>
      </c>
      <c r="D66" s="38" t="s">
        <v>526</v>
      </c>
      <c r="E66" s="38" t="s">
        <v>844</v>
      </c>
      <c r="F66" s="445">
        <v>10380</v>
      </c>
      <c r="G66" s="764"/>
      <c r="H66" s="764"/>
      <c r="I66" s="617"/>
      <c r="J66" s="617"/>
      <c r="K66" s="445">
        <v>23139</v>
      </c>
      <c r="L66" s="445"/>
      <c r="M66" s="445"/>
      <c r="N66" s="445"/>
      <c r="O66" s="445"/>
      <c r="P66" s="445">
        <v>-23139</v>
      </c>
      <c r="Q66" s="453"/>
      <c r="R66" s="454"/>
      <c r="S66" s="454"/>
      <c r="T66" s="455">
        <v>-23139</v>
      </c>
      <c r="U66" s="756">
        <f t="shared" si="21"/>
        <v>0</v>
      </c>
      <c r="V66" s="129" t="s">
        <v>845</v>
      </c>
      <c r="W66" s="445">
        <v>-3380</v>
      </c>
      <c r="X66" s="415">
        <v>2980</v>
      </c>
      <c r="Y66" s="764"/>
      <c r="Z66" s="764"/>
      <c r="AA66" s="764"/>
      <c r="AB66" s="764"/>
      <c r="AC66" s="492">
        <f>X66-Y66-Z66-AA66-AB66</f>
        <v>2980</v>
      </c>
      <c r="AD66" s="445">
        <v>-2980</v>
      </c>
      <c r="AE66" s="453"/>
      <c r="AF66" s="454"/>
      <c r="AG66" s="454"/>
      <c r="AH66" s="455">
        <v>-3380</v>
      </c>
      <c r="AI66" s="456"/>
      <c r="AJ66" s="457"/>
      <c r="AK66" s="129" t="s">
        <v>845</v>
      </c>
      <c r="AL66" s="440" t="s">
        <v>421</v>
      </c>
      <c r="AM66" s="128">
        <f t="shared" si="22"/>
        <v>0</v>
      </c>
      <c r="AO66" s="753"/>
      <c r="AP66" s="753"/>
      <c r="AQ66" s="753"/>
      <c r="AR66" s="753"/>
      <c r="AS66" s="753"/>
      <c r="AT66" s="753"/>
      <c r="AU66" s="752">
        <f t="shared" si="20"/>
        <v>0</v>
      </c>
      <c r="AV66" s="207" t="str">
        <f t="shared" si="23"/>
        <v>OK</v>
      </c>
    </row>
    <row r="67" spans="1:48" ht="50.25" customHeight="1">
      <c r="A67" s="66">
        <v>54</v>
      </c>
      <c r="B67" s="99"/>
      <c r="C67" s="92"/>
      <c r="D67" s="38" t="s">
        <v>785</v>
      </c>
      <c r="E67" s="38"/>
      <c r="F67" s="445">
        <v>318818</v>
      </c>
      <c r="G67" s="490"/>
      <c r="H67" s="490">
        <v>74866</v>
      </c>
      <c r="I67" s="490"/>
      <c r="J67" s="491">
        <v>243952</v>
      </c>
      <c r="K67" s="445">
        <v>297552</v>
      </c>
      <c r="L67" s="445"/>
      <c r="M67" s="445">
        <v>69057</v>
      </c>
      <c r="N67" s="445"/>
      <c r="O67" s="445">
        <v>228495</v>
      </c>
      <c r="P67" s="445">
        <v>-104143</v>
      </c>
      <c r="Q67" s="446">
        <v>0</v>
      </c>
      <c r="R67" s="454">
        <v>-24170</v>
      </c>
      <c r="S67" s="454">
        <v>0</v>
      </c>
      <c r="T67" s="455">
        <v>-79973</v>
      </c>
      <c r="U67" s="756">
        <f t="shared" si="21"/>
        <v>0</v>
      </c>
      <c r="V67" s="129" t="s">
        <v>318</v>
      </c>
      <c r="W67" s="445">
        <v>-111586</v>
      </c>
      <c r="X67" s="415">
        <v>344865</v>
      </c>
      <c r="Y67" s="490">
        <v>0</v>
      </c>
      <c r="Z67" s="490">
        <v>87131</v>
      </c>
      <c r="AA67" s="490">
        <v>0</v>
      </c>
      <c r="AB67" s="491">
        <v>257734</v>
      </c>
      <c r="AC67" s="492">
        <f>X67-Y67-Z67-AA67-AB67</f>
        <v>0</v>
      </c>
      <c r="AD67" s="445">
        <v>-120500</v>
      </c>
      <c r="AE67" s="446"/>
      <c r="AF67" s="454">
        <v>-26203</v>
      </c>
      <c r="AG67" s="454"/>
      <c r="AH67" s="455">
        <v>-85383</v>
      </c>
      <c r="AI67" s="456"/>
      <c r="AJ67" s="457"/>
      <c r="AK67" s="129" t="s">
        <v>525</v>
      </c>
      <c r="AL67" s="440" t="s">
        <v>421</v>
      </c>
      <c r="AM67" s="128">
        <f t="shared" si="22"/>
        <v>0</v>
      </c>
      <c r="AO67" s="48">
        <v>-24170</v>
      </c>
      <c r="AP67" s="753">
        <v>0</v>
      </c>
      <c r="AQ67" s="753">
        <v>0</v>
      </c>
      <c r="AR67" s="753">
        <v>0</v>
      </c>
      <c r="AS67" s="753">
        <v>0</v>
      </c>
      <c r="AT67" s="753">
        <v>0</v>
      </c>
      <c r="AU67" s="752">
        <f t="shared" si="20"/>
        <v>-24170</v>
      </c>
      <c r="AV67" s="207" t="str">
        <f t="shared" si="23"/>
        <v>OK</v>
      </c>
    </row>
    <row r="68" spans="1:48" ht="50.25" customHeight="1">
      <c r="A68" s="66">
        <v>55</v>
      </c>
      <c r="B68" s="99"/>
      <c r="C68" s="91" t="s">
        <v>527</v>
      </c>
      <c r="D68" s="38" t="s">
        <v>211</v>
      </c>
      <c r="E68" s="38" t="s">
        <v>212</v>
      </c>
      <c r="F68" s="445">
        <v>2141000</v>
      </c>
      <c r="G68" s="490">
        <v>1048155</v>
      </c>
      <c r="H68" s="490">
        <v>44689</v>
      </c>
      <c r="I68" s="490">
        <v>1047200</v>
      </c>
      <c r="J68" s="491">
        <v>956</v>
      </c>
      <c r="K68" s="445">
        <v>3804000</v>
      </c>
      <c r="L68" s="445"/>
      <c r="M68" s="445"/>
      <c r="N68" s="445"/>
      <c r="O68" s="445"/>
      <c r="P68" s="445">
        <v>-3804000</v>
      </c>
      <c r="Q68" s="453">
        <v>-1856862</v>
      </c>
      <c r="R68" s="454">
        <v>-90276</v>
      </c>
      <c r="S68" s="454">
        <v>-1854800</v>
      </c>
      <c r="T68" s="455">
        <v>-2062</v>
      </c>
      <c r="U68" s="756">
        <f t="shared" si="21"/>
        <v>0</v>
      </c>
      <c r="V68" s="129" t="s">
        <v>485</v>
      </c>
      <c r="W68" s="445">
        <v>-2141000</v>
      </c>
      <c r="X68" s="415">
        <v>1108600</v>
      </c>
      <c r="Y68" s="490">
        <v>548079</v>
      </c>
      <c r="Z68" s="490">
        <v>12443</v>
      </c>
      <c r="AA68" s="490">
        <v>546900</v>
      </c>
      <c r="AB68" s="491">
        <v>1178</v>
      </c>
      <c r="AC68" s="492">
        <f>X68-Y68-Z68-AA68-AB68</f>
        <v>0</v>
      </c>
      <c r="AD68" s="445">
        <v>-1108600</v>
      </c>
      <c r="AE68" s="453">
        <v>-1048155</v>
      </c>
      <c r="AF68" s="454">
        <v>-44689</v>
      </c>
      <c r="AG68" s="454">
        <v>-1047200</v>
      </c>
      <c r="AH68" s="455">
        <v>-956</v>
      </c>
      <c r="AI68" s="456"/>
      <c r="AJ68" s="457"/>
      <c r="AK68" s="129" t="s">
        <v>485</v>
      </c>
      <c r="AL68" s="440" t="s">
        <v>421</v>
      </c>
      <c r="AM68" s="128">
        <f t="shared" si="22"/>
        <v>0</v>
      </c>
      <c r="AO68" s="48">
        <v>-90276</v>
      </c>
      <c r="AP68" s="753">
        <v>0</v>
      </c>
      <c r="AQ68" s="753">
        <v>0</v>
      </c>
      <c r="AR68" s="753">
        <v>0</v>
      </c>
      <c r="AS68" s="753">
        <v>0</v>
      </c>
      <c r="AT68" s="753">
        <v>0</v>
      </c>
      <c r="AU68" s="752">
        <f t="shared" si="20"/>
        <v>-90276</v>
      </c>
      <c r="AV68" s="207" t="str">
        <f t="shared" si="23"/>
        <v>OK</v>
      </c>
    </row>
    <row r="69" spans="1:48" ht="50.25" customHeight="1">
      <c r="A69" s="66">
        <v>56</v>
      </c>
      <c r="B69" s="99"/>
      <c r="C69" s="91"/>
      <c r="D69" s="38" t="s">
        <v>216</v>
      </c>
      <c r="E69" s="38" t="s">
        <v>217</v>
      </c>
      <c r="F69" s="445">
        <v>512700</v>
      </c>
      <c r="G69" s="490"/>
      <c r="H69" s="490">
        <v>76349</v>
      </c>
      <c r="I69" s="490">
        <v>436000</v>
      </c>
      <c r="J69" s="491">
        <v>351</v>
      </c>
      <c r="K69" s="445">
        <v>487000</v>
      </c>
      <c r="L69" s="445"/>
      <c r="M69" s="445">
        <v>93860</v>
      </c>
      <c r="N69" s="445">
        <v>391200</v>
      </c>
      <c r="O69" s="445">
        <v>1940</v>
      </c>
      <c r="P69" s="445">
        <v>-243500</v>
      </c>
      <c r="Q69" s="446">
        <v>0</v>
      </c>
      <c r="R69" s="454">
        <v>-46930</v>
      </c>
      <c r="S69" s="454">
        <v>-195600</v>
      </c>
      <c r="T69" s="455">
        <v>-970</v>
      </c>
      <c r="U69" s="756">
        <f t="shared" si="21"/>
        <v>0</v>
      </c>
      <c r="V69" s="129" t="s">
        <v>395</v>
      </c>
      <c r="W69" s="445">
        <v>-256350</v>
      </c>
      <c r="X69" s="415">
        <v>487000</v>
      </c>
      <c r="Y69" s="490">
        <v>0</v>
      </c>
      <c r="Z69" s="490">
        <v>120687</v>
      </c>
      <c r="AA69" s="490">
        <v>365500</v>
      </c>
      <c r="AB69" s="491">
        <v>813</v>
      </c>
      <c r="AC69" s="492">
        <v>0</v>
      </c>
      <c r="AD69" s="445">
        <v>-243500</v>
      </c>
      <c r="AE69" s="446"/>
      <c r="AF69" s="454">
        <v>-38174</v>
      </c>
      <c r="AG69" s="454">
        <v>-218000</v>
      </c>
      <c r="AH69" s="455">
        <v>-176</v>
      </c>
      <c r="AI69" s="456"/>
      <c r="AJ69" s="457"/>
      <c r="AK69" s="129" t="s">
        <v>395</v>
      </c>
      <c r="AL69" s="440" t="s">
        <v>421</v>
      </c>
      <c r="AM69" s="128">
        <f t="shared" si="22"/>
        <v>0</v>
      </c>
      <c r="AO69" s="48">
        <v>-46930</v>
      </c>
      <c r="AP69" s="753">
        <v>0</v>
      </c>
      <c r="AQ69" s="753">
        <v>0</v>
      </c>
      <c r="AR69" s="753">
        <v>0</v>
      </c>
      <c r="AS69" s="753">
        <v>0</v>
      </c>
      <c r="AT69" s="753">
        <v>0</v>
      </c>
      <c r="AU69" s="752">
        <f t="shared" si="20"/>
        <v>-46930</v>
      </c>
      <c r="AV69" s="207" t="str">
        <f t="shared" si="23"/>
        <v>OK</v>
      </c>
    </row>
    <row r="70" spans="1:48" ht="60.75" customHeight="1">
      <c r="A70" s="66">
        <v>57</v>
      </c>
      <c r="B70" s="99"/>
      <c r="C70" s="92"/>
      <c r="D70" s="38" t="s">
        <v>218</v>
      </c>
      <c r="E70" s="38" t="s">
        <v>666</v>
      </c>
      <c r="F70" s="452">
        <v>3329000</v>
      </c>
      <c r="G70" s="764"/>
      <c r="H70" s="764"/>
      <c r="I70" s="617">
        <v>3278000</v>
      </c>
      <c r="J70" s="617">
        <v>51000</v>
      </c>
      <c r="K70" s="452">
        <v>3390000</v>
      </c>
      <c r="L70" s="452"/>
      <c r="M70" s="452"/>
      <c r="N70" s="452"/>
      <c r="O70" s="452"/>
      <c r="P70" s="452">
        <v>-3390000</v>
      </c>
      <c r="Q70" s="453"/>
      <c r="R70" s="454"/>
      <c r="S70" s="454">
        <v>-3386000</v>
      </c>
      <c r="T70" s="455">
        <v>-4000</v>
      </c>
      <c r="U70" s="756">
        <f t="shared" si="21"/>
        <v>0</v>
      </c>
      <c r="V70" s="129" t="s">
        <v>373</v>
      </c>
      <c r="W70" s="452">
        <v>-3329000</v>
      </c>
      <c r="X70" s="415">
        <v>7228000</v>
      </c>
      <c r="Y70" s="764"/>
      <c r="Z70" s="764"/>
      <c r="AA70" s="764"/>
      <c r="AB70" s="764"/>
      <c r="AC70" s="492">
        <f>X70-Y70-Z70-AA70-AB70</f>
        <v>7228000</v>
      </c>
      <c r="AD70" s="452">
        <v>-7228000</v>
      </c>
      <c r="AE70" s="453"/>
      <c r="AF70" s="454"/>
      <c r="AG70" s="454">
        <v>-3278000</v>
      </c>
      <c r="AH70" s="455">
        <v>-51000</v>
      </c>
      <c r="AI70" s="456"/>
      <c r="AJ70" s="457"/>
      <c r="AK70" s="129" t="s">
        <v>373</v>
      </c>
      <c r="AL70" s="440" t="s">
        <v>421</v>
      </c>
      <c r="AM70" s="128">
        <f t="shared" si="22"/>
        <v>0</v>
      </c>
      <c r="AO70" s="753"/>
      <c r="AP70" s="753"/>
      <c r="AQ70" s="753"/>
      <c r="AR70" s="753"/>
      <c r="AS70" s="753"/>
      <c r="AT70" s="753"/>
      <c r="AU70" s="752">
        <f aca="true" t="shared" si="29" ref="AU70:AU97">SUM(AO70:AT70)</f>
        <v>0</v>
      </c>
      <c r="AV70" s="207" t="str">
        <f t="shared" si="23"/>
        <v>OK</v>
      </c>
    </row>
    <row r="71" spans="1:48" ht="70.5" customHeight="1">
      <c r="A71" s="66">
        <v>58</v>
      </c>
      <c r="B71" s="99"/>
      <c r="C71" s="90" t="s">
        <v>219</v>
      </c>
      <c r="D71" s="38" t="s">
        <v>220</v>
      </c>
      <c r="E71" s="38" t="s">
        <v>762</v>
      </c>
      <c r="F71" s="445">
        <v>458000</v>
      </c>
      <c r="G71" s="490">
        <v>218000</v>
      </c>
      <c r="H71" s="490"/>
      <c r="I71" s="490">
        <v>238400</v>
      </c>
      <c r="J71" s="491">
        <v>1600</v>
      </c>
      <c r="K71" s="445">
        <v>165000</v>
      </c>
      <c r="L71" s="445">
        <v>75167</v>
      </c>
      <c r="M71" s="445"/>
      <c r="N71" s="445">
        <v>88800</v>
      </c>
      <c r="O71" s="445">
        <v>1033</v>
      </c>
      <c r="P71" s="445">
        <v>-57750</v>
      </c>
      <c r="Q71" s="446">
        <v>-26308</v>
      </c>
      <c r="R71" s="454">
        <v>0</v>
      </c>
      <c r="S71" s="454">
        <v>-31000</v>
      </c>
      <c r="T71" s="455">
        <v>-442</v>
      </c>
      <c r="U71" s="756">
        <f aca="true" t="shared" si="30" ref="U71:U97">P71-Q71-R71-S71-T71</f>
        <v>0</v>
      </c>
      <c r="V71" s="129" t="s">
        <v>319</v>
      </c>
      <c r="W71" s="445">
        <v>-160300</v>
      </c>
      <c r="X71" s="415">
        <v>478850</v>
      </c>
      <c r="Y71" s="490">
        <v>230118</v>
      </c>
      <c r="Z71" s="490">
        <v>0</v>
      </c>
      <c r="AA71" s="490">
        <v>247600</v>
      </c>
      <c r="AB71" s="491">
        <v>1132</v>
      </c>
      <c r="AC71" s="492">
        <v>0</v>
      </c>
      <c r="AD71" s="445">
        <v>-167000</v>
      </c>
      <c r="AE71" s="446">
        <v>-76300</v>
      </c>
      <c r="AF71" s="454"/>
      <c r="AG71" s="454">
        <v>-83400</v>
      </c>
      <c r="AH71" s="455">
        <v>-600</v>
      </c>
      <c r="AI71" s="456"/>
      <c r="AJ71" s="457"/>
      <c r="AK71" s="129" t="s">
        <v>319</v>
      </c>
      <c r="AL71" s="440" t="s">
        <v>421</v>
      </c>
      <c r="AM71" s="128">
        <f aca="true" t="shared" si="31" ref="AM71:AM97">W71-AE71-AF71-AG71-AH71</f>
        <v>0</v>
      </c>
      <c r="AO71" s="753"/>
      <c r="AP71" s="753"/>
      <c r="AQ71" s="753"/>
      <c r="AR71" s="753"/>
      <c r="AS71" s="753"/>
      <c r="AT71" s="753"/>
      <c r="AU71" s="752">
        <f t="shared" si="29"/>
        <v>0</v>
      </c>
      <c r="AV71" s="207" t="str">
        <f aca="true" t="shared" si="32" ref="AV71:AV97">IF(R71=AU71,"OK","OUT")</f>
        <v>OK</v>
      </c>
    </row>
    <row r="72" spans="1:48" ht="50.25" customHeight="1">
      <c r="A72" s="66">
        <v>59</v>
      </c>
      <c r="B72" s="99"/>
      <c r="C72" s="92"/>
      <c r="D72" s="38" t="s">
        <v>221</v>
      </c>
      <c r="E72" s="38" t="s">
        <v>222</v>
      </c>
      <c r="F72" s="452">
        <v>138000</v>
      </c>
      <c r="G72" s="764"/>
      <c r="H72" s="764"/>
      <c r="I72" s="617">
        <v>137200</v>
      </c>
      <c r="J72" s="617">
        <v>800</v>
      </c>
      <c r="K72" s="452">
        <v>84000</v>
      </c>
      <c r="L72" s="452"/>
      <c r="M72" s="452"/>
      <c r="N72" s="452"/>
      <c r="O72" s="452"/>
      <c r="P72" s="452">
        <v>-84000</v>
      </c>
      <c r="Q72" s="453"/>
      <c r="R72" s="454"/>
      <c r="S72" s="454">
        <v>-83000</v>
      </c>
      <c r="T72" s="455">
        <v>-1000</v>
      </c>
      <c r="U72" s="756">
        <f t="shared" si="30"/>
        <v>0</v>
      </c>
      <c r="V72" s="129" t="s">
        <v>373</v>
      </c>
      <c r="W72" s="452">
        <v>-138000</v>
      </c>
      <c r="X72" s="415">
        <v>171000</v>
      </c>
      <c r="Y72" s="764"/>
      <c r="Z72" s="764"/>
      <c r="AA72" s="764"/>
      <c r="AB72" s="764"/>
      <c r="AC72" s="492">
        <f>X72-Y72-Z72-AA72-AB72</f>
        <v>171000</v>
      </c>
      <c r="AD72" s="452">
        <v>-171000</v>
      </c>
      <c r="AE72" s="453"/>
      <c r="AF72" s="454"/>
      <c r="AG72" s="454">
        <v>-137200</v>
      </c>
      <c r="AH72" s="455">
        <v>-800</v>
      </c>
      <c r="AI72" s="456"/>
      <c r="AJ72" s="457"/>
      <c r="AK72" s="129" t="s">
        <v>373</v>
      </c>
      <c r="AL72" s="440" t="s">
        <v>421</v>
      </c>
      <c r="AM72" s="128">
        <f t="shared" si="31"/>
        <v>0</v>
      </c>
      <c r="AO72" s="753"/>
      <c r="AP72" s="753"/>
      <c r="AQ72" s="753"/>
      <c r="AR72" s="753"/>
      <c r="AS72" s="753"/>
      <c r="AT72" s="753"/>
      <c r="AU72" s="752">
        <f t="shared" si="29"/>
        <v>0</v>
      </c>
      <c r="AV72" s="207" t="str">
        <f t="shared" si="32"/>
        <v>OK</v>
      </c>
    </row>
    <row r="73" spans="1:48" ht="63" customHeight="1">
      <c r="A73" s="66">
        <v>60</v>
      </c>
      <c r="B73" s="99"/>
      <c r="C73" s="90" t="s">
        <v>223</v>
      </c>
      <c r="D73" s="38" t="s">
        <v>224</v>
      </c>
      <c r="E73" s="38" t="s">
        <v>667</v>
      </c>
      <c r="F73" s="445">
        <v>11930000</v>
      </c>
      <c r="G73" s="490">
        <v>5948200</v>
      </c>
      <c r="H73" s="490">
        <v>192000</v>
      </c>
      <c r="I73" s="490">
        <v>5714700</v>
      </c>
      <c r="J73" s="491">
        <v>75100</v>
      </c>
      <c r="K73" s="445">
        <v>8885000</v>
      </c>
      <c r="L73" s="445">
        <v>4362317</v>
      </c>
      <c r="M73" s="445">
        <v>226100</v>
      </c>
      <c r="N73" s="445">
        <v>4260100</v>
      </c>
      <c r="O73" s="445">
        <v>36483</v>
      </c>
      <c r="P73" s="445">
        <v>-3109750</v>
      </c>
      <c r="Q73" s="446">
        <v>-1526811</v>
      </c>
      <c r="R73" s="454">
        <v>-79135</v>
      </c>
      <c r="S73" s="454">
        <v>-1491000</v>
      </c>
      <c r="T73" s="455">
        <v>-12804</v>
      </c>
      <c r="U73" s="756">
        <f t="shared" si="30"/>
        <v>0</v>
      </c>
      <c r="V73" s="129" t="s">
        <v>559</v>
      </c>
      <c r="W73" s="445">
        <v>-4175500</v>
      </c>
      <c r="X73" s="415">
        <v>7148810</v>
      </c>
      <c r="Y73" s="490">
        <v>3498350</v>
      </c>
      <c r="Z73" s="490">
        <v>113870</v>
      </c>
      <c r="AA73" s="490">
        <v>3535200</v>
      </c>
      <c r="AB73" s="491">
        <v>1390</v>
      </c>
      <c r="AC73" s="492">
        <f>X73-Y73-Z73-AA73-AB73</f>
        <v>0</v>
      </c>
      <c r="AD73" s="445">
        <v>-2430750</v>
      </c>
      <c r="AE73" s="446">
        <v>-2081870</v>
      </c>
      <c r="AF73" s="454">
        <v>-67200</v>
      </c>
      <c r="AG73" s="454">
        <v>-2000000</v>
      </c>
      <c r="AH73" s="455">
        <v>-26430</v>
      </c>
      <c r="AI73" s="456"/>
      <c r="AJ73" s="457"/>
      <c r="AK73" s="129" t="s">
        <v>490</v>
      </c>
      <c r="AL73" s="440" t="s">
        <v>421</v>
      </c>
      <c r="AM73" s="128">
        <f t="shared" si="31"/>
        <v>0</v>
      </c>
      <c r="AO73" s="48">
        <v>-79135</v>
      </c>
      <c r="AP73" s="753"/>
      <c r="AQ73" s="753"/>
      <c r="AR73" s="753"/>
      <c r="AS73" s="753"/>
      <c r="AT73" s="753"/>
      <c r="AU73" s="752">
        <f t="shared" si="29"/>
        <v>-79135</v>
      </c>
      <c r="AV73" s="207" t="str">
        <f t="shared" si="32"/>
        <v>OK</v>
      </c>
    </row>
    <row r="74" spans="1:48" ht="50.25" customHeight="1">
      <c r="A74" s="66">
        <v>61</v>
      </c>
      <c r="B74" s="99"/>
      <c r="C74" s="92"/>
      <c r="D74" s="38" t="s">
        <v>225</v>
      </c>
      <c r="E74" s="38" t="s">
        <v>226</v>
      </c>
      <c r="F74" s="452">
        <v>1382000</v>
      </c>
      <c r="G74" s="490"/>
      <c r="H74" s="490"/>
      <c r="I74" s="490">
        <v>1381800</v>
      </c>
      <c r="J74" s="491">
        <v>200</v>
      </c>
      <c r="K74" s="452">
        <v>1296000</v>
      </c>
      <c r="L74" s="452"/>
      <c r="M74" s="452"/>
      <c r="N74" s="452"/>
      <c r="O74" s="452"/>
      <c r="P74" s="452">
        <v>-1296000</v>
      </c>
      <c r="Q74" s="453"/>
      <c r="R74" s="454"/>
      <c r="S74" s="454">
        <v>-1293400</v>
      </c>
      <c r="T74" s="455">
        <v>-2600</v>
      </c>
      <c r="U74" s="756">
        <f t="shared" si="30"/>
        <v>0</v>
      </c>
      <c r="V74" s="129" t="s">
        <v>560</v>
      </c>
      <c r="W74" s="452">
        <v>-1382000</v>
      </c>
      <c r="X74" s="415">
        <v>1500000</v>
      </c>
      <c r="Y74" s="490"/>
      <c r="Z74" s="490"/>
      <c r="AA74" s="490"/>
      <c r="AB74" s="491"/>
      <c r="AC74" s="492">
        <f>X74-Y74-Z74-AA74-AB74</f>
        <v>1500000</v>
      </c>
      <c r="AD74" s="452">
        <v>-1500000</v>
      </c>
      <c r="AE74" s="453"/>
      <c r="AF74" s="454"/>
      <c r="AG74" s="454">
        <v>-1381800</v>
      </c>
      <c r="AH74" s="455">
        <v>-200</v>
      </c>
      <c r="AI74" s="456"/>
      <c r="AJ74" s="457"/>
      <c r="AK74" s="129" t="s">
        <v>491</v>
      </c>
      <c r="AL74" s="440" t="s">
        <v>421</v>
      </c>
      <c r="AM74" s="128">
        <f t="shared" si="31"/>
        <v>0</v>
      </c>
      <c r="AO74" s="753"/>
      <c r="AP74" s="753"/>
      <c r="AQ74" s="753"/>
      <c r="AR74" s="753"/>
      <c r="AS74" s="753"/>
      <c r="AT74" s="753"/>
      <c r="AU74" s="752">
        <f t="shared" si="29"/>
        <v>0</v>
      </c>
      <c r="AV74" s="207" t="str">
        <f t="shared" si="32"/>
        <v>OK</v>
      </c>
    </row>
    <row r="75" spans="1:48" ht="50.25" customHeight="1">
      <c r="A75" s="66">
        <v>62</v>
      </c>
      <c r="B75" s="99"/>
      <c r="C75" s="90" t="s">
        <v>846</v>
      </c>
      <c r="D75" s="38" t="s">
        <v>846</v>
      </c>
      <c r="E75" s="38" t="s">
        <v>847</v>
      </c>
      <c r="F75" s="445">
        <v>2154</v>
      </c>
      <c r="G75" s="490"/>
      <c r="H75" s="490">
        <v>2154</v>
      </c>
      <c r="I75" s="490"/>
      <c r="J75" s="491"/>
      <c r="K75" s="445">
        <v>2154</v>
      </c>
      <c r="L75" s="445"/>
      <c r="M75" s="445"/>
      <c r="N75" s="445"/>
      <c r="O75" s="445"/>
      <c r="P75" s="445">
        <v>-2154</v>
      </c>
      <c r="Q75" s="453"/>
      <c r="R75" s="454">
        <v>-2154</v>
      </c>
      <c r="S75" s="454"/>
      <c r="T75" s="455"/>
      <c r="U75" s="756">
        <f t="shared" si="30"/>
        <v>0</v>
      </c>
      <c r="V75" s="129" t="s">
        <v>605</v>
      </c>
      <c r="W75" s="445">
        <v>-2154</v>
      </c>
      <c r="X75" s="415">
        <v>2154</v>
      </c>
      <c r="Y75" s="490"/>
      <c r="Z75" s="490"/>
      <c r="AA75" s="490"/>
      <c r="AB75" s="491"/>
      <c r="AC75" s="492">
        <f>X75-Y75-Z75-AA75-AB75</f>
        <v>2154</v>
      </c>
      <c r="AD75" s="445">
        <v>-2154</v>
      </c>
      <c r="AE75" s="453"/>
      <c r="AF75" s="454">
        <v>-2154</v>
      </c>
      <c r="AG75" s="454"/>
      <c r="AH75" s="455"/>
      <c r="AI75" s="456"/>
      <c r="AJ75" s="457"/>
      <c r="AK75" s="129" t="s">
        <v>605</v>
      </c>
      <c r="AL75" s="440" t="s">
        <v>421</v>
      </c>
      <c r="AM75" s="128">
        <f t="shared" si="31"/>
        <v>0</v>
      </c>
      <c r="AO75" s="753"/>
      <c r="AP75" s="48">
        <v>-2154</v>
      </c>
      <c r="AQ75" s="753"/>
      <c r="AR75" s="753"/>
      <c r="AS75" s="753"/>
      <c r="AT75" s="753"/>
      <c r="AU75" s="752">
        <f t="shared" si="29"/>
        <v>-2154</v>
      </c>
      <c r="AV75" s="207" t="str">
        <f t="shared" si="32"/>
        <v>OK</v>
      </c>
    </row>
    <row r="76" spans="1:48" ht="50.25" customHeight="1">
      <c r="A76" s="66">
        <v>63</v>
      </c>
      <c r="B76" s="99"/>
      <c r="C76" s="92"/>
      <c r="D76" s="38" t="s">
        <v>604</v>
      </c>
      <c r="E76" s="38" t="s">
        <v>847</v>
      </c>
      <c r="F76" s="445">
        <v>350</v>
      </c>
      <c r="G76" s="490"/>
      <c r="H76" s="490"/>
      <c r="I76" s="490"/>
      <c r="J76" s="491">
        <v>350</v>
      </c>
      <c r="K76" s="445">
        <v>350</v>
      </c>
      <c r="L76" s="445"/>
      <c r="M76" s="445"/>
      <c r="N76" s="445"/>
      <c r="O76" s="445"/>
      <c r="P76" s="445">
        <v>-350</v>
      </c>
      <c r="Q76" s="446"/>
      <c r="R76" s="454"/>
      <c r="S76" s="454"/>
      <c r="T76" s="455">
        <v>-350</v>
      </c>
      <c r="U76" s="756">
        <f t="shared" si="30"/>
        <v>0</v>
      </c>
      <c r="V76" s="129" t="s">
        <v>605</v>
      </c>
      <c r="W76" s="445">
        <v>-350</v>
      </c>
      <c r="X76" s="415">
        <v>350</v>
      </c>
      <c r="Y76" s="490"/>
      <c r="Z76" s="490"/>
      <c r="AA76" s="490"/>
      <c r="AB76" s="491"/>
      <c r="AC76" s="492">
        <f>X76-Y76-Z76-AA76-AB76</f>
        <v>350</v>
      </c>
      <c r="AD76" s="445">
        <v>-350</v>
      </c>
      <c r="AE76" s="446"/>
      <c r="AF76" s="454"/>
      <c r="AG76" s="454"/>
      <c r="AH76" s="455">
        <v>-350</v>
      </c>
      <c r="AI76" s="456"/>
      <c r="AJ76" s="457"/>
      <c r="AK76" s="129" t="s">
        <v>605</v>
      </c>
      <c r="AL76" s="440" t="s">
        <v>421</v>
      </c>
      <c r="AM76" s="128">
        <f t="shared" si="31"/>
        <v>0</v>
      </c>
      <c r="AO76" s="753"/>
      <c r="AP76" s="48"/>
      <c r="AQ76" s="753"/>
      <c r="AR76" s="753"/>
      <c r="AS76" s="753"/>
      <c r="AT76" s="753"/>
      <c r="AU76" s="752">
        <f t="shared" si="29"/>
        <v>0</v>
      </c>
      <c r="AV76" s="207" t="str">
        <f t="shared" si="32"/>
        <v>OK</v>
      </c>
    </row>
    <row r="77" spans="1:48" ht="71.25" customHeight="1">
      <c r="A77" s="66">
        <v>64</v>
      </c>
      <c r="B77" s="99"/>
      <c r="C77" s="90" t="s">
        <v>227</v>
      </c>
      <c r="D77" s="38" t="s">
        <v>261</v>
      </c>
      <c r="E77" s="38" t="s">
        <v>668</v>
      </c>
      <c r="F77" s="445">
        <v>5030000</v>
      </c>
      <c r="G77" s="490">
        <v>1890962</v>
      </c>
      <c r="H77" s="490">
        <v>528000</v>
      </c>
      <c r="I77" s="490">
        <v>2511900</v>
      </c>
      <c r="J77" s="491">
        <v>99138</v>
      </c>
      <c r="K77" s="445">
        <v>3062000</v>
      </c>
      <c r="L77" s="445">
        <v>1213328</v>
      </c>
      <c r="M77" s="445">
        <v>271460</v>
      </c>
      <c r="N77" s="445">
        <v>1522800</v>
      </c>
      <c r="O77" s="445">
        <v>54412</v>
      </c>
      <c r="P77" s="445">
        <v>-1071700</v>
      </c>
      <c r="Q77" s="446">
        <v>-424665</v>
      </c>
      <c r="R77" s="454">
        <v>-95011</v>
      </c>
      <c r="S77" s="454">
        <v>-532900</v>
      </c>
      <c r="T77" s="455">
        <v>-19124</v>
      </c>
      <c r="U77" s="756">
        <f t="shared" si="30"/>
        <v>0</v>
      </c>
      <c r="V77" s="129" t="s">
        <v>320</v>
      </c>
      <c r="W77" s="445">
        <v>-1760500</v>
      </c>
      <c r="X77" s="415">
        <v>5748033</v>
      </c>
      <c r="Y77" s="490">
        <v>2121934</v>
      </c>
      <c r="Z77" s="490">
        <v>528448</v>
      </c>
      <c r="AA77" s="490">
        <v>3077900</v>
      </c>
      <c r="AB77" s="491">
        <v>19751</v>
      </c>
      <c r="AC77" s="492">
        <v>0</v>
      </c>
      <c r="AD77" s="445">
        <v>-2011000</v>
      </c>
      <c r="AE77" s="446">
        <v>-661837</v>
      </c>
      <c r="AF77" s="454">
        <v>-184800</v>
      </c>
      <c r="AG77" s="454">
        <v>-879000</v>
      </c>
      <c r="AH77" s="455">
        <v>-34863</v>
      </c>
      <c r="AI77" s="456"/>
      <c r="AJ77" s="457"/>
      <c r="AK77" s="129" t="s">
        <v>320</v>
      </c>
      <c r="AL77" s="440" t="s">
        <v>421</v>
      </c>
      <c r="AM77" s="128">
        <f t="shared" si="31"/>
        <v>0</v>
      </c>
      <c r="AO77" s="48">
        <v>-95011</v>
      </c>
      <c r="AP77" s="753">
        <v>0</v>
      </c>
      <c r="AQ77" s="753">
        <v>0</v>
      </c>
      <c r="AR77" s="753">
        <v>0</v>
      </c>
      <c r="AS77" s="753">
        <v>0</v>
      </c>
      <c r="AT77" s="753">
        <v>0</v>
      </c>
      <c r="AU77" s="752">
        <f t="shared" si="29"/>
        <v>-95011</v>
      </c>
      <c r="AV77" s="207" t="str">
        <f t="shared" si="32"/>
        <v>OK</v>
      </c>
    </row>
    <row r="78" spans="1:48" ht="31.5" customHeight="1">
      <c r="A78" s="66">
        <v>65</v>
      </c>
      <c r="B78" s="99"/>
      <c r="C78" s="91"/>
      <c r="D78" s="38" t="s">
        <v>262</v>
      </c>
      <c r="E78" s="38" t="s">
        <v>263</v>
      </c>
      <c r="F78" s="445">
        <v>86800</v>
      </c>
      <c r="G78" s="490"/>
      <c r="H78" s="490">
        <v>13020</v>
      </c>
      <c r="I78" s="490">
        <v>73000</v>
      </c>
      <c r="J78" s="491">
        <v>780</v>
      </c>
      <c r="K78" s="445">
        <v>46000</v>
      </c>
      <c r="L78" s="445"/>
      <c r="M78" s="445">
        <v>6900</v>
      </c>
      <c r="N78" s="445">
        <v>37900</v>
      </c>
      <c r="O78" s="445">
        <v>1200</v>
      </c>
      <c r="P78" s="445">
        <v>-9200</v>
      </c>
      <c r="Q78" s="446">
        <v>0</v>
      </c>
      <c r="R78" s="454">
        <v>-1380</v>
      </c>
      <c r="S78" s="454">
        <v>-7500</v>
      </c>
      <c r="T78" s="455">
        <v>-320</v>
      </c>
      <c r="U78" s="756">
        <f t="shared" si="30"/>
        <v>0</v>
      </c>
      <c r="V78" s="129" t="s">
        <v>321</v>
      </c>
      <c r="W78" s="445">
        <f>-F78*0.2</f>
        <v>-17360</v>
      </c>
      <c r="X78" s="415">
        <v>115200</v>
      </c>
      <c r="Y78" s="490">
        <v>0</v>
      </c>
      <c r="Z78" s="490">
        <v>17280</v>
      </c>
      <c r="AA78" s="490">
        <v>97200</v>
      </c>
      <c r="AB78" s="491">
        <v>720</v>
      </c>
      <c r="AC78" s="492">
        <v>0</v>
      </c>
      <c r="AD78" s="445">
        <v>-23000</v>
      </c>
      <c r="AE78" s="446"/>
      <c r="AF78" s="454">
        <v>-2604</v>
      </c>
      <c r="AG78" s="454">
        <v>-14600</v>
      </c>
      <c r="AH78" s="455">
        <v>-156</v>
      </c>
      <c r="AI78" s="456"/>
      <c r="AJ78" s="457"/>
      <c r="AK78" s="129" t="s">
        <v>321</v>
      </c>
      <c r="AL78" s="440" t="s">
        <v>421</v>
      </c>
      <c r="AM78" s="128">
        <f t="shared" si="31"/>
        <v>0</v>
      </c>
      <c r="AO78" s="48">
        <v>-1380</v>
      </c>
      <c r="AP78" s="753">
        <v>0</v>
      </c>
      <c r="AQ78" s="753">
        <v>0</v>
      </c>
      <c r="AR78" s="753">
        <v>0</v>
      </c>
      <c r="AS78" s="753">
        <v>0</v>
      </c>
      <c r="AT78" s="753">
        <v>0</v>
      </c>
      <c r="AU78" s="752">
        <f t="shared" si="29"/>
        <v>-1380</v>
      </c>
      <c r="AV78" s="207" t="str">
        <f t="shared" si="32"/>
        <v>OK</v>
      </c>
    </row>
    <row r="79" spans="1:48" ht="48" customHeight="1">
      <c r="A79" s="66">
        <v>66</v>
      </c>
      <c r="B79" s="99"/>
      <c r="C79" s="92"/>
      <c r="D79" s="38" t="s">
        <v>396</v>
      </c>
      <c r="E79" s="38" t="s">
        <v>264</v>
      </c>
      <c r="F79" s="452">
        <v>457965</v>
      </c>
      <c r="G79" s="764"/>
      <c r="H79" s="764"/>
      <c r="I79" s="617">
        <v>457100</v>
      </c>
      <c r="J79" s="617">
        <v>865</v>
      </c>
      <c r="K79" s="452">
        <v>384000</v>
      </c>
      <c r="L79" s="452"/>
      <c r="M79" s="452"/>
      <c r="N79" s="452"/>
      <c r="O79" s="452"/>
      <c r="P79" s="452">
        <v>-384000</v>
      </c>
      <c r="Q79" s="453"/>
      <c r="R79" s="454"/>
      <c r="S79" s="454">
        <v>-382600</v>
      </c>
      <c r="T79" s="455">
        <v>-1400</v>
      </c>
      <c r="U79" s="756">
        <f t="shared" si="30"/>
        <v>0</v>
      </c>
      <c r="V79" s="129" t="s">
        <v>373</v>
      </c>
      <c r="W79" s="452">
        <f>-F79</f>
        <v>-457965</v>
      </c>
      <c r="X79" s="415">
        <v>565000</v>
      </c>
      <c r="Y79" s="764"/>
      <c r="Z79" s="764"/>
      <c r="AA79" s="764"/>
      <c r="AB79" s="764"/>
      <c r="AC79" s="492">
        <f aca="true" t="shared" si="33" ref="AC79:AC85">X79-Y79-Z79-AA79-AB79</f>
        <v>565000</v>
      </c>
      <c r="AD79" s="452">
        <v>-565000</v>
      </c>
      <c r="AE79" s="453"/>
      <c r="AF79" s="454"/>
      <c r="AG79" s="454">
        <v>-457100</v>
      </c>
      <c r="AH79" s="455">
        <v>-865</v>
      </c>
      <c r="AI79" s="456"/>
      <c r="AJ79" s="457"/>
      <c r="AK79" s="129" t="s">
        <v>373</v>
      </c>
      <c r="AL79" s="440" t="s">
        <v>421</v>
      </c>
      <c r="AM79" s="128">
        <f t="shared" si="31"/>
        <v>0</v>
      </c>
      <c r="AO79" s="753"/>
      <c r="AP79" s="753"/>
      <c r="AQ79" s="753"/>
      <c r="AR79" s="753"/>
      <c r="AS79" s="753"/>
      <c r="AT79" s="753"/>
      <c r="AU79" s="752">
        <f t="shared" si="29"/>
        <v>0</v>
      </c>
      <c r="AV79" s="207" t="str">
        <f t="shared" si="32"/>
        <v>OK</v>
      </c>
    </row>
    <row r="80" spans="1:48" ht="60" customHeight="1">
      <c r="A80" s="66">
        <v>67</v>
      </c>
      <c r="B80" s="99"/>
      <c r="C80" s="90" t="s">
        <v>265</v>
      </c>
      <c r="D80" s="51" t="s">
        <v>618</v>
      </c>
      <c r="E80" s="38" t="s">
        <v>848</v>
      </c>
      <c r="F80" s="452">
        <v>37370</v>
      </c>
      <c r="G80" s="764"/>
      <c r="H80" s="764"/>
      <c r="I80" s="617"/>
      <c r="J80" s="617"/>
      <c r="K80" s="452">
        <v>32025</v>
      </c>
      <c r="L80" s="452"/>
      <c r="M80" s="452"/>
      <c r="N80" s="452"/>
      <c r="O80" s="452"/>
      <c r="P80" s="452">
        <v>-32025</v>
      </c>
      <c r="Q80" s="453"/>
      <c r="R80" s="454"/>
      <c r="S80" s="454"/>
      <c r="T80" s="455">
        <v>-32025</v>
      </c>
      <c r="U80" s="756">
        <f t="shared" si="30"/>
        <v>0</v>
      </c>
      <c r="V80" s="129" t="s">
        <v>257</v>
      </c>
      <c r="W80" s="452">
        <v>-37370</v>
      </c>
      <c r="X80" s="415">
        <v>37700</v>
      </c>
      <c r="Y80" s="764"/>
      <c r="Z80" s="764"/>
      <c r="AA80" s="764"/>
      <c r="AB80" s="764"/>
      <c r="AC80" s="492">
        <f t="shared" si="33"/>
        <v>37700</v>
      </c>
      <c r="AD80" s="452">
        <v>-37700</v>
      </c>
      <c r="AE80" s="453"/>
      <c r="AF80" s="454"/>
      <c r="AG80" s="454"/>
      <c r="AH80" s="455">
        <v>-37370</v>
      </c>
      <c r="AI80" s="456"/>
      <c r="AJ80" s="457"/>
      <c r="AK80" s="129" t="s">
        <v>257</v>
      </c>
      <c r="AL80" s="440" t="s">
        <v>421</v>
      </c>
      <c r="AM80" s="128">
        <f t="shared" si="31"/>
        <v>0</v>
      </c>
      <c r="AO80" s="753"/>
      <c r="AP80" s="753"/>
      <c r="AQ80" s="753"/>
      <c r="AR80" s="753"/>
      <c r="AS80" s="753"/>
      <c r="AT80" s="753"/>
      <c r="AU80" s="752">
        <f t="shared" si="29"/>
        <v>0</v>
      </c>
      <c r="AV80" s="207" t="str">
        <f t="shared" si="32"/>
        <v>OK</v>
      </c>
    </row>
    <row r="81" spans="1:48" ht="36.75" customHeight="1">
      <c r="A81" s="66">
        <v>68</v>
      </c>
      <c r="B81" s="99"/>
      <c r="C81" s="91"/>
      <c r="D81" s="38" t="s">
        <v>268</v>
      </c>
      <c r="E81" s="38"/>
      <c r="F81" s="445">
        <v>171595</v>
      </c>
      <c r="G81" s="490"/>
      <c r="H81" s="490"/>
      <c r="I81" s="490"/>
      <c r="J81" s="491"/>
      <c r="K81" s="445">
        <v>151728</v>
      </c>
      <c r="L81" s="445"/>
      <c r="M81" s="445"/>
      <c r="N81" s="445"/>
      <c r="O81" s="445"/>
      <c r="P81" s="445">
        <v>-151728</v>
      </c>
      <c r="Q81" s="453"/>
      <c r="R81" s="454">
        <v>-4225</v>
      </c>
      <c r="S81" s="454"/>
      <c r="T81" s="455">
        <v>-147503</v>
      </c>
      <c r="U81" s="756">
        <f t="shared" si="30"/>
        <v>0</v>
      </c>
      <c r="V81" s="129" t="s">
        <v>799</v>
      </c>
      <c r="W81" s="445">
        <v>-171595</v>
      </c>
      <c r="X81" s="415">
        <v>185367</v>
      </c>
      <c r="Y81" s="490">
        <v>0</v>
      </c>
      <c r="Z81" s="490">
        <v>5000</v>
      </c>
      <c r="AA81" s="490">
        <v>0</v>
      </c>
      <c r="AB81" s="491">
        <v>180367</v>
      </c>
      <c r="AC81" s="492">
        <f t="shared" si="33"/>
        <v>0</v>
      </c>
      <c r="AD81" s="445">
        <v>-185367</v>
      </c>
      <c r="AE81" s="453"/>
      <c r="AF81" s="454">
        <v>-4828</v>
      </c>
      <c r="AG81" s="454"/>
      <c r="AH81" s="455">
        <v>-166767</v>
      </c>
      <c r="AI81" s="456"/>
      <c r="AJ81" s="457"/>
      <c r="AK81" s="129" t="s">
        <v>799</v>
      </c>
      <c r="AL81" s="440" t="s">
        <v>421</v>
      </c>
      <c r="AM81" s="128">
        <f t="shared" si="31"/>
        <v>0</v>
      </c>
      <c r="AO81" s="753"/>
      <c r="AP81" s="48">
        <v>-4225</v>
      </c>
      <c r="AQ81" s="753"/>
      <c r="AR81" s="753"/>
      <c r="AS81" s="753"/>
      <c r="AT81" s="753"/>
      <c r="AU81" s="752">
        <f t="shared" si="29"/>
        <v>-4225</v>
      </c>
      <c r="AV81" s="207" t="str">
        <f t="shared" si="32"/>
        <v>OK</v>
      </c>
    </row>
    <row r="82" spans="1:48" ht="31.5" customHeight="1">
      <c r="A82" s="66">
        <v>69</v>
      </c>
      <c r="B82" s="99"/>
      <c r="C82" s="91"/>
      <c r="D82" s="56" t="s">
        <v>531</v>
      </c>
      <c r="E82" s="38"/>
      <c r="F82" s="452">
        <v>232000</v>
      </c>
      <c r="G82" s="764"/>
      <c r="H82" s="764"/>
      <c r="I82" s="617"/>
      <c r="J82" s="617"/>
      <c r="K82" s="452">
        <v>222000</v>
      </c>
      <c r="L82" s="452"/>
      <c r="M82" s="452"/>
      <c r="N82" s="452"/>
      <c r="O82" s="452"/>
      <c r="P82" s="452">
        <v>-222000</v>
      </c>
      <c r="Q82" s="453"/>
      <c r="R82" s="454"/>
      <c r="S82" s="454">
        <v>-219000</v>
      </c>
      <c r="T82" s="455">
        <v>-3000</v>
      </c>
      <c r="U82" s="756">
        <f t="shared" si="30"/>
        <v>0</v>
      </c>
      <c r="V82" s="129" t="s">
        <v>850</v>
      </c>
      <c r="W82" s="452">
        <v>-232000</v>
      </c>
      <c r="X82" s="415">
        <v>206500</v>
      </c>
      <c r="Y82" s="764"/>
      <c r="Z82" s="764"/>
      <c r="AA82" s="764"/>
      <c r="AB82" s="764"/>
      <c r="AC82" s="492">
        <f t="shared" si="33"/>
        <v>206500</v>
      </c>
      <c r="AD82" s="452">
        <v>-206500</v>
      </c>
      <c r="AE82" s="453"/>
      <c r="AF82" s="454"/>
      <c r="AG82" s="454">
        <v>-229800</v>
      </c>
      <c r="AH82" s="455">
        <v>-2200</v>
      </c>
      <c r="AI82" s="456"/>
      <c r="AJ82" s="457"/>
      <c r="AK82" s="129" t="s">
        <v>850</v>
      </c>
      <c r="AL82" s="440" t="s">
        <v>421</v>
      </c>
      <c r="AM82" s="128">
        <f t="shared" si="31"/>
        <v>0</v>
      </c>
      <c r="AO82" s="753"/>
      <c r="AP82" s="753"/>
      <c r="AQ82" s="753"/>
      <c r="AR82" s="753"/>
      <c r="AS82" s="753"/>
      <c r="AT82" s="753"/>
      <c r="AU82" s="752">
        <f t="shared" si="29"/>
        <v>0</v>
      </c>
      <c r="AV82" s="207" t="str">
        <f t="shared" si="32"/>
        <v>OK</v>
      </c>
    </row>
    <row r="83" spans="1:48" ht="39.75" customHeight="1">
      <c r="A83" s="66">
        <v>71</v>
      </c>
      <c r="B83" s="99"/>
      <c r="C83" s="91"/>
      <c r="D83" s="38" t="s">
        <v>270</v>
      </c>
      <c r="E83" s="38" t="s">
        <v>270</v>
      </c>
      <c r="F83" s="452">
        <v>265918</v>
      </c>
      <c r="G83" s="764"/>
      <c r="H83" s="764"/>
      <c r="I83" s="617"/>
      <c r="J83" s="617"/>
      <c r="K83" s="452">
        <v>228961</v>
      </c>
      <c r="L83" s="452"/>
      <c r="M83" s="452"/>
      <c r="N83" s="452"/>
      <c r="O83" s="452"/>
      <c r="P83" s="452">
        <v>-228961</v>
      </c>
      <c r="Q83" s="453"/>
      <c r="R83" s="454"/>
      <c r="S83" s="454"/>
      <c r="T83" s="455">
        <v>-228961</v>
      </c>
      <c r="U83" s="756">
        <f t="shared" si="30"/>
        <v>0</v>
      </c>
      <c r="V83" s="129"/>
      <c r="W83" s="452">
        <v>-265918</v>
      </c>
      <c r="X83" s="415">
        <v>261631</v>
      </c>
      <c r="Y83" s="764"/>
      <c r="Z83" s="764"/>
      <c r="AA83" s="764"/>
      <c r="AB83" s="764"/>
      <c r="AC83" s="492">
        <f t="shared" si="33"/>
        <v>261631</v>
      </c>
      <c r="AD83" s="452">
        <v>-261631</v>
      </c>
      <c r="AE83" s="453"/>
      <c r="AF83" s="454"/>
      <c r="AG83" s="454"/>
      <c r="AH83" s="455">
        <v>-265918</v>
      </c>
      <c r="AI83" s="456"/>
      <c r="AJ83" s="457"/>
      <c r="AK83" s="129"/>
      <c r="AL83" s="440" t="s">
        <v>421</v>
      </c>
      <c r="AM83" s="128">
        <f t="shared" si="31"/>
        <v>0</v>
      </c>
      <c r="AO83" s="753"/>
      <c r="AP83" s="753"/>
      <c r="AQ83" s="753"/>
      <c r="AR83" s="753"/>
      <c r="AS83" s="753"/>
      <c r="AT83" s="753"/>
      <c r="AU83" s="752">
        <f t="shared" si="29"/>
        <v>0</v>
      </c>
      <c r="AV83" s="207" t="str">
        <f t="shared" si="32"/>
        <v>OK</v>
      </c>
    </row>
    <row r="84" spans="1:48" ht="38.25" customHeight="1">
      <c r="A84" s="66">
        <v>72</v>
      </c>
      <c r="B84" s="99"/>
      <c r="C84" s="91"/>
      <c r="D84" s="51" t="s">
        <v>699</v>
      </c>
      <c r="E84" s="38" t="s">
        <v>507</v>
      </c>
      <c r="F84" s="445">
        <v>139000</v>
      </c>
      <c r="G84" s="490"/>
      <c r="H84" s="490"/>
      <c r="I84" s="490"/>
      <c r="J84" s="491"/>
      <c r="K84" s="445">
        <v>137300</v>
      </c>
      <c r="L84" s="445"/>
      <c r="M84" s="445"/>
      <c r="N84" s="445"/>
      <c r="O84" s="445"/>
      <c r="P84" s="445">
        <v>-137300</v>
      </c>
      <c r="Q84" s="453"/>
      <c r="R84" s="454">
        <v>-137300</v>
      </c>
      <c r="S84" s="454"/>
      <c r="T84" s="455"/>
      <c r="U84" s="756">
        <f t="shared" si="30"/>
        <v>0</v>
      </c>
      <c r="V84" s="129" t="s">
        <v>664</v>
      </c>
      <c r="W84" s="445">
        <v>-139000</v>
      </c>
      <c r="X84" s="415">
        <v>139000</v>
      </c>
      <c r="Y84" s="490">
        <v>0</v>
      </c>
      <c r="Z84" s="490">
        <v>139000</v>
      </c>
      <c r="AA84" s="490">
        <v>0</v>
      </c>
      <c r="AB84" s="491"/>
      <c r="AC84" s="492">
        <f t="shared" si="33"/>
        <v>0</v>
      </c>
      <c r="AD84" s="445">
        <v>-139000</v>
      </c>
      <c r="AE84" s="453"/>
      <c r="AF84" s="454">
        <v>-139000</v>
      </c>
      <c r="AG84" s="454"/>
      <c r="AH84" s="455"/>
      <c r="AI84" s="456"/>
      <c r="AJ84" s="457"/>
      <c r="AK84" s="129" t="s">
        <v>664</v>
      </c>
      <c r="AL84" s="440" t="s">
        <v>421</v>
      </c>
      <c r="AM84" s="128">
        <f t="shared" si="31"/>
        <v>0</v>
      </c>
      <c r="AO84" s="753">
        <v>0</v>
      </c>
      <c r="AP84" s="753">
        <v>0</v>
      </c>
      <c r="AQ84" s="753">
        <v>0</v>
      </c>
      <c r="AR84" s="753">
        <v>0</v>
      </c>
      <c r="AS84" s="48">
        <v>-137300</v>
      </c>
      <c r="AT84" s="753">
        <v>0</v>
      </c>
      <c r="AU84" s="752">
        <f t="shared" si="29"/>
        <v>-137300</v>
      </c>
      <c r="AV84" s="207" t="str">
        <f t="shared" si="32"/>
        <v>OK</v>
      </c>
    </row>
    <row r="85" spans="1:48" ht="60.75" customHeight="1">
      <c r="A85" s="66">
        <v>73</v>
      </c>
      <c r="B85" s="99"/>
      <c r="C85" s="91"/>
      <c r="D85" s="38" t="s">
        <v>851</v>
      </c>
      <c r="E85" s="38" t="s">
        <v>63</v>
      </c>
      <c r="F85" s="445">
        <v>243000</v>
      </c>
      <c r="G85" s="624"/>
      <c r="H85" s="624"/>
      <c r="I85" s="624"/>
      <c r="J85" s="625"/>
      <c r="K85" s="445">
        <v>182207</v>
      </c>
      <c r="L85" s="445"/>
      <c r="M85" s="445"/>
      <c r="N85" s="445"/>
      <c r="O85" s="445"/>
      <c r="P85" s="445">
        <v>-182207</v>
      </c>
      <c r="Q85" s="453"/>
      <c r="R85" s="454"/>
      <c r="S85" s="454">
        <v>-180900</v>
      </c>
      <c r="T85" s="455">
        <v>-1307</v>
      </c>
      <c r="U85" s="756">
        <f t="shared" si="30"/>
        <v>0</v>
      </c>
      <c r="V85" s="129" t="s">
        <v>852</v>
      </c>
      <c r="W85" s="445">
        <v>-243000</v>
      </c>
      <c r="X85" s="415">
        <v>274445</v>
      </c>
      <c r="Y85" s="624"/>
      <c r="Z85" s="624"/>
      <c r="AA85" s="624"/>
      <c r="AB85" s="625"/>
      <c r="AC85" s="492">
        <f t="shared" si="33"/>
        <v>274445</v>
      </c>
      <c r="AD85" s="445">
        <v>-274445</v>
      </c>
      <c r="AE85" s="453"/>
      <c r="AF85" s="454"/>
      <c r="AG85" s="454">
        <v>-242700</v>
      </c>
      <c r="AH85" s="455">
        <v>-300</v>
      </c>
      <c r="AI85" s="456"/>
      <c r="AJ85" s="457"/>
      <c r="AK85" s="129" t="s">
        <v>852</v>
      </c>
      <c r="AL85" s="440" t="s">
        <v>421</v>
      </c>
      <c r="AM85" s="128">
        <f t="shared" si="31"/>
        <v>0</v>
      </c>
      <c r="AO85" s="753"/>
      <c r="AP85" s="753"/>
      <c r="AQ85" s="753"/>
      <c r="AR85" s="753"/>
      <c r="AS85" s="753"/>
      <c r="AT85" s="753"/>
      <c r="AU85" s="752">
        <f t="shared" si="29"/>
        <v>0</v>
      </c>
      <c r="AV85" s="207" t="str">
        <f t="shared" si="32"/>
        <v>OK</v>
      </c>
    </row>
    <row r="86" spans="1:48" ht="68.25" customHeight="1">
      <c r="A86" s="66">
        <v>74</v>
      </c>
      <c r="B86" s="99"/>
      <c r="C86" s="90" t="s">
        <v>669</v>
      </c>
      <c r="D86" s="38" t="s">
        <v>674</v>
      </c>
      <c r="E86" s="38"/>
      <c r="F86" s="445">
        <v>11338637</v>
      </c>
      <c r="G86" s="490">
        <v>5710550</v>
      </c>
      <c r="H86" s="490">
        <v>2280186</v>
      </c>
      <c r="I86" s="490">
        <v>3346300</v>
      </c>
      <c r="J86" s="491">
        <v>1601</v>
      </c>
      <c r="K86" s="445">
        <v>9000000</v>
      </c>
      <c r="L86" s="445">
        <v>4647060</v>
      </c>
      <c r="M86" s="445">
        <v>1914747</v>
      </c>
      <c r="N86" s="445">
        <v>2434900</v>
      </c>
      <c r="O86" s="445">
        <v>3293</v>
      </c>
      <c r="P86" s="445">
        <v>-3150000</v>
      </c>
      <c r="Q86" s="446">
        <v>-1626471</v>
      </c>
      <c r="R86" s="454">
        <v>-670161</v>
      </c>
      <c r="S86" s="454">
        <v>-852200</v>
      </c>
      <c r="T86" s="455">
        <v>-1168</v>
      </c>
      <c r="U86" s="756">
        <f t="shared" si="30"/>
        <v>0</v>
      </c>
      <c r="V86" s="129" t="s">
        <v>322</v>
      </c>
      <c r="W86" s="445">
        <v>-3968523</v>
      </c>
      <c r="X86" s="415">
        <v>5482755</v>
      </c>
      <c r="Y86" s="490">
        <v>2733316</v>
      </c>
      <c r="Z86" s="490">
        <v>927228</v>
      </c>
      <c r="AA86" s="490">
        <v>1821900</v>
      </c>
      <c r="AB86" s="491">
        <v>311</v>
      </c>
      <c r="AC86" s="492">
        <v>0</v>
      </c>
      <c r="AD86" s="445">
        <v>-1919000</v>
      </c>
      <c r="AE86" s="446">
        <v>-1998693</v>
      </c>
      <c r="AF86" s="454">
        <v>-798065</v>
      </c>
      <c r="AG86" s="454">
        <v>-1171200</v>
      </c>
      <c r="AH86" s="455">
        <v>-565</v>
      </c>
      <c r="AI86" s="456"/>
      <c r="AJ86" s="457"/>
      <c r="AK86" s="129" t="s">
        <v>322</v>
      </c>
      <c r="AL86" s="440" t="s">
        <v>421</v>
      </c>
      <c r="AM86" s="128">
        <f t="shared" si="31"/>
        <v>0</v>
      </c>
      <c r="AO86" s="48">
        <v>-670161</v>
      </c>
      <c r="AP86" s="753">
        <v>0</v>
      </c>
      <c r="AQ86" s="753">
        <v>0</v>
      </c>
      <c r="AR86" s="753">
        <v>0</v>
      </c>
      <c r="AS86" s="753">
        <v>0</v>
      </c>
      <c r="AT86" s="753">
        <v>0</v>
      </c>
      <c r="AU86" s="752">
        <f t="shared" si="29"/>
        <v>-670161</v>
      </c>
      <c r="AV86" s="207" t="str">
        <f t="shared" si="32"/>
        <v>OK</v>
      </c>
    </row>
    <row r="87" spans="1:48" ht="31.5" customHeight="1">
      <c r="A87" s="66">
        <v>75</v>
      </c>
      <c r="B87" s="99"/>
      <c r="C87" s="92"/>
      <c r="D87" s="38" t="s">
        <v>412</v>
      </c>
      <c r="E87" s="38" t="s">
        <v>413</v>
      </c>
      <c r="F87" s="445">
        <v>491000</v>
      </c>
      <c r="G87" s="490"/>
      <c r="H87" s="490">
        <v>245500</v>
      </c>
      <c r="I87" s="490">
        <v>244000</v>
      </c>
      <c r="J87" s="491">
        <v>1500</v>
      </c>
      <c r="K87" s="445">
        <v>319000</v>
      </c>
      <c r="L87" s="445"/>
      <c r="M87" s="445">
        <v>159500</v>
      </c>
      <c r="N87" s="445">
        <v>155400</v>
      </c>
      <c r="O87" s="445">
        <v>4100</v>
      </c>
      <c r="P87" s="445">
        <v>-111650</v>
      </c>
      <c r="Q87" s="446">
        <v>0</v>
      </c>
      <c r="R87" s="454">
        <v>-55825</v>
      </c>
      <c r="S87" s="454">
        <v>-54300</v>
      </c>
      <c r="T87" s="455">
        <v>-1525</v>
      </c>
      <c r="U87" s="756">
        <f t="shared" si="30"/>
        <v>0</v>
      </c>
      <c r="V87" s="129" t="s">
        <v>323</v>
      </c>
      <c r="W87" s="445">
        <v>-171850</v>
      </c>
      <c r="X87" s="415">
        <v>636000</v>
      </c>
      <c r="Y87" s="490">
        <v>0</v>
      </c>
      <c r="Z87" s="490">
        <v>318000</v>
      </c>
      <c r="AA87" s="490">
        <v>317000</v>
      </c>
      <c r="AB87" s="491">
        <v>1000</v>
      </c>
      <c r="AC87" s="492">
        <v>0</v>
      </c>
      <c r="AD87" s="445">
        <v>-222600</v>
      </c>
      <c r="AE87" s="446"/>
      <c r="AF87" s="454">
        <v>-85925</v>
      </c>
      <c r="AG87" s="454">
        <v>-85400</v>
      </c>
      <c r="AH87" s="455">
        <v>-525</v>
      </c>
      <c r="AI87" s="456"/>
      <c r="AJ87" s="457"/>
      <c r="AK87" s="129" t="s">
        <v>323</v>
      </c>
      <c r="AL87" s="440" t="s">
        <v>421</v>
      </c>
      <c r="AM87" s="128">
        <f t="shared" si="31"/>
        <v>0</v>
      </c>
      <c r="AO87" s="48">
        <v>-55825</v>
      </c>
      <c r="AP87" s="753">
        <v>0</v>
      </c>
      <c r="AQ87" s="753">
        <v>0</v>
      </c>
      <c r="AR87" s="753">
        <v>0</v>
      </c>
      <c r="AS87" s="753">
        <v>0</v>
      </c>
      <c r="AT87" s="753">
        <v>0</v>
      </c>
      <c r="AU87" s="752">
        <f t="shared" si="29"/>
        <v>-55825</v>
      </c>
      <c r="AV87" s="207" t="str">
        <f t="shared" si="32"/>
        <v>OK</v>
      </c>
    </row>
    <row r="88" spans="1:48" ht="66" customHeight="1">
      <c r="A88" s="66">
        <v>76</v>
      </c>
      <c r="B88" s="99"/>
      <c r="C88" s="90" t="s">
        <v>274</v>
      </c>
      <c r="D88" s="38" t="s">
        <v>275</v>
      </c>
      <c r="E88" s="38" t="s">
        <v>561</v>
      </c>
      <c r="F88" s="445">
        <v>1787000</v>
      </c>
      <c r="G88" s="490">
        <v>426000</v>
      </c>
      <c r="H88" s="490">
        <v>7000</v>
      </c>
      <c r="I88" s="490">
        <v>1352000</v>
      </c>
      <c r="J88" s="491">
        <v>2000</v>
      </c>
      <c r="K88" s="445">
        <v>1043000</v>
      </c>
      <c r="L88" s="445">
        <v>275333</v>
      </c>
      <c r="M88" s="445"/>
      <c r="N88" s="445">
        <v>764800</v>
      </c>
      <c r="O88" s="445">
        <v>2867</v>
      </c>
      <c r="P88" s="445">
        <v>-365050</v>
      </c>
      <c r="Q88" s="446">
        <v>-96367</v>
      </c>
      <c r="R88" s="454">
        <v>0</v>
      </c>
      <c r="S88" s="454">
        <v>-267600</v>
      </c>
      <c r="T88" s="455">
        <v>-1083</v>
      </c>
      <c r="U88" s="756">
        <f t="shared" si="30"/>
        <v>0</v>
      </c>
      <c r="V88" s="129" t="s">
        <v>324</v>
      </c>
      <c r="W88" s="445">
        <v>-625450</v>
      </c>
      <c r="X88" s="415">
        <v>1270420</v>
      </c>
      <c r="Y88" s="490">
        <v>442110</v>
      </c>
      <c r="Z88" s="490">
        <v>2100</v>
      </c>
      <c r="AA88" s="490">
        <v>825900</v>
      </c>
      <c r="AB88" s="491">
        <v>310</v>
      </c>
      <c r="AC88" s="492">
        <v>0</v>
      </c>
      <c r="AD88" s="445">
        <v>-444000</v>
      </c>
      <c r="AE88" s="446">
        <v>-149100</v>
      </c>
      <c r="AF88" s="454">
        <v>-2450</v>
      </c>
      <c r="AG88" s="454">
        <v>-473200</v>
      </c>
      <c r="AH88" s="455">
        <v>-700</v>
      </c>
      <c r="AI88" s="456"/>
      <c r="AJ88" s="457"/>
      <c r="AK88" s="129" t="s">
        <v>324</v>
      </c>
      <c r="AL88" s="440" t="s">
        <v>421</v>
      </c>
      <c r="AM88" s="128">
        <f t="shared" si="31"/>
        <v>0</v>
      </c>
      <c r="AO88" s="48"/>
      <c r="AP88" s="48"/>
      <c r="AQ88" s="753"/>
      <c r="AR88" s="753"/>
      <c r="AS88" s="753"/>
      <c r="AT88" s="753"/>
      <c r="AU88" s="752">
        <f t="shared" si="29"/>
        <v>0</v>
      </c>
      <c r="AV88" s="207" t="str">
        <f t="shared" si="32"/>
        <v>OK</v>
      </c>
    </row>
    <row r="89" spans="1:48" ht="41.25" customHeight="1">
      <c r="A89" s="66">
        <v>77</v>
      </c>
      <c r="B89" s="99"/>
      <c r="C89" s="91"/>
      <c r="D89" s="38" t="s">
        <v>276</v>
      </c>
      <c r="E89" s="38" t="s">
        <v>277</v>
      </c>
      <c r="F89" s="445">
        <v>745500</v>
      </c>
      <c r="G89" s="490"/>
      <c r="H89" s="490">
        <v>1500</v>
      </c>
      <c r="I89" s="490">
        <v>743000</v>
      </c>
      <c r="J89" s="491">
        <v>1000</v>
      </c>
      <c r="K89" s="445">
        <v>656768</v>
      </c>
      <c r="L89" s="445"/>
      <c r="M89" s="445">
        <v>1500</v>
      </c>
      <c r="N89" s="445">
        <v>652900</v>
      </c>
      <c r="O89" s="445">
        <v>2368</v>
      </c>
      <c r="P89" s="445">
        <v>-131354</v>
      </c>
      <c r="Q89" s="446">
        <v>0</v>
      </c>
      <c r="R89" s="454">
        <v>-300</v>
      </c>
      <c r="S89" s="454">
        <v>-130500</v>
      </c>
      <c r="T89" s="455">
        <v>-554</v>
      </c>
      <c r="U89" s="756">
        <f t="shared" si="30"/>
        <v>0</v>
      </c>
      <c r="V89" s="129" t="s">
        <v>394</v>
      </c>
      <c r="W89" s="445">
        <f>-F89*0.2</f>
        <v>-149100</v>
      </c>
      <c r="X89" s="415">
        <v>747154</v>
      </c>
      <c r="Y89" s="490">
        <v>0</v>
      </c>
      <c r="Z89" s="490">
        <v>1500</v>
      </c>
      <c r="AA89" s="490">
        <v>745000</v>
      </c>
      <c r="AB89" s="491">
        <v>654</v>
      </c>
      <c r="AC89" s="492">
        <f aca="true" t="shared" si="34" ref="AC89:AC101">X89-Y89-Z89-AA89-AB89</f>
        <v>0</v>
      </c>
      <c r="AD89" s="445">
        <v>-149000</v>
      </c>
      <c r="AE89" s="446">
        <f>G89*0.2</f>
        <v>0</v>
      </c>
      <c r="AF89" s="454">
        <v>-300</v>
      </c>
      <c r="AG89" s="454">
        <v>-148600</v>
      </c>
      <c r="AH89" s="455">
        <v>-200</v>
      </c>
      <c r="AI89" s="456"/>
      <c r="AJ89" s="457"/>
      <c r="AK89" s="129" t="s">
        <v>394</v>
      </c>
      <c r="AL89" s="440" t="s">
        <v>421</v>
      </c>
      <c r="AM89" s="128">
        <f t="shared" si="31"/>
        <v>0</v>
      </c>
      <c r="AO89" s="753">
        <v>0</v>
      </c>
      <c r="AP89" s="753">
        <v>0</v>
      </c>
      <c r="AQ89" s="753">
        <v>0</v>
      </c>
      <c r="AR89" s="48">
        <v>-300</v>
      </c>
      <c r="AS89" s="753">
        <v>0</v>
      </c>
      <c r="AT89" s="753">
        <v>0</v>
      </c>
      <c r="AU89" s="752">
        <f t="shared" si="29"/>
        <v>-300</v>
      </c>
      <c r="AV89" s="207" t="str">
        <f t="shared" si="32"/>
        <v>OK</v>
      </c>
    </row>
    <row r="90" spans="1:48" ht="53.25" customHeight="1">
      <c r="A90" s="66">
        <v>78</v>
      </c>
      <c r="B90" s="99"/>
      <c r="C90" s="91"/>
      <c r="D90" s="38" t="s">
        <v>278</v>
      </c>
      <c r="E90" s="38" t="s">
        <v>279</v>
      </c>
      <c r="F90" s="452">
        <v>272000</v>
      </c>
      <c r="G90" s="490"/>
      <c r="H90" s="490">
        <v>132000</v>
      </c>
      <c r="I90" s="490">
        <v>139000</v>
      </c>
      <c r="J90" s="491">
        <v>1000</v>
      </c>
      <c r="K90" s="452">
        <v>233000</v>
      </c>
      <c r="L90" s="452"/>
      <c r="M90" s="452"/>
      <c r="N90" s="452"/>
      <c r="O90" s="452"/>
      <c r="P90" s="452">
        <v>-233000</v>
      </c>
      <c r="Q90" s="453"/>
      <c r="R90" s="454">
        <v>-114000</v>
      </c>
      <c r="S90" s="454">
        <v>-118100</v>
      </c>
      <c r="T90" s="455">
        <v>-900</v>
      </c>
      <c r="U90" s="756">
        <f t="shared" si="30"/>
        <v>0</v>
      </c>
      <c r="V90" s="129" t="s">
        <v>429</v>
      </c>
      <c r="W90" s="452">
        <f>-F90</f>
        <v>-272000</v>
      </c>
      <c r="X90" s="415">
        <v>601900</v>
      </c>
      <c r="Y90" s="490">
        <v>0</v>
      </c>
      <c r="Z90" s="490">
        <v>186533</v>
      </c>
      <c r="AA90" s="490">
        <v>409900</v>
      </c>
      <c r="AB90" s="491">
        <v>5467</v>
      </c>
      <c r="AC90" s="492">
        <f t="shared" si="34"/>
        <v>0</v>
      </c>
      <c r="AD90" s="452">
        <v>-601900</v>
      </c>
      <c r="AE90" s="453"/>
      <c r="AF90" s="454">
        <v>-132000</v>
      </c>
      <c r="AG90" s="454">
        <v>-139000</v>
      </c>
      <c r="AH90" s="455">
        <v>-1000</v>
      </c>
      <c r="AI90" s="456"/>
      <c r="AJ90" s="457"/>
      <c r="AK90" s="129" t="s">
        <v>429</v>
      </c>
      <c r="AL90" s="440" t="s">
        <v>421</v>
      </c>
      <c r="AM90" s="128">
        <f t="shared" si="31"/>
        <v>0</v>
      </c>
      <c r="AO90" s="48">
        <v>-114000</v>
      </c>
      <c r="AP90" s="753"/>
      <c r="AQ90" s="753"/>
      <c r="AR90" s="753"/>
      <c r="AS90" s="753"/>
      <c r="AT90" s="753"/>
      <c r="AU90" s="752">
        <f t="shared" si="29"/>
        <v>-114000</v>
      </c>
      <c r="AV90" s="207" t="str">
        <f t="shared" si="32"/>
        <v>OK</v>
      </c>
    </row>
    <row r="91" spans="1:48" ht="54" customHeight="1">
      <c r="A91" s="66">
        <v>79</v>
      </c>
      <c r="B91" s="99"/>
      <c r="C91" s="91"/>
      <c r="D91" s="38" t="s">
        <v>281</v>
      </c>
      <c r="E91" s="38" t="s">
        <v>620</v>
      </c>
      <c r="F91" s="445">
        <v>418404</v>
      </c>
      <c r="G91" s="490"/>
      <c r="H91" s="490"/>
      <c r="I91" s="490">
        <v>163100</v>
      </c>
      <c r="J91" s="491">
        <v>255304</v>
      </c>
      <c r="K91" s="445">
        <v>422282</v>
      </c>
      <c r="L91" s="445"/>
      <c r="M91" s="445"/>
      <c r="N91" s="445">
        <v>163000</v>
      </c>
      <c r="O91" s="445">
        <v>259282</v>
      </c>
      <c r="P91" s="445">
        <v>-211141</v>
      </c>
      <c r="Q91" s="446">
        <v>0</v>
      </c>
      <c r="R91" s="454">
        <v>0</v>
      </c>
      <c r="S91" s="454">
        <v>-81500</v>
      </c>
      <c r="T91" s="455">
        <v>-129641</v>
      </c>
      <c r="U91" s="756">
        <f t="shared" si="30"/>
        <v>0</v>
      </c>
      <c r="V91" s="129" t="s">
        <v>325</v>
      </c>
      <c r="W91" s="445">
        <v>-209202</v>
      </c>
      <c r="X91" s="415">
        <v>415628</v>
      </c>
      <c r="Y91" s="490">
        <v>0</v>
      </c>
      <c r="Z91" s="490">
        <v>0</v>
      </c>
      <c r="AA91" s="490">
        <v>163000</v>
      </c>
      <c r="AB91" s="491">
        <v>252628</v>
      </c>
      <c r="AC91" s="492">
        <f t="shared" si="34"/>
        <v>0</v>
      </c>
      <c r="AD91" s="445">
        <v>-208000</v>
      </c>
      <c r="AE91" s="446"/>
      <c r="AF91" s="454"/>
      <c r="AG91" s="454">
        <v>-81600</v>
      </c>
      <c r="AH91" s="455">
        <v>-127602</v>
      </c>
      <c r="AI91" s="456"/>
      <c r="AJ91" s="457"/>
      <c r="AK91" s="129" t="s">
        <v>325</v>
      </c>
      <c r="AL91" s="440" t="s">
        <v>421</v>
      </c>
      <c r="AM91" s="128">
        <f t="shared" si="31"/>
        <v>0</v>
      </c>
      <c r="AO91" s="753"/>
      <c r="AP91" s="753"/>
      <c r="AQ91" s="753"/>
      <c r="AR91" s="753"/>
      <c r="AS91" s="753"/>
      <c r="AT91" s="753"/>
      <c r="AU91" s="752">
        <f t="shared" si="29"/>
        <v>0</v>
      </c>
      <c r="AV91" s="207" t="str">
        <f t="shared" si="32"/>
        <v>OK</v>
      </c>
    </row>
    <row r="92" spans="1:48" ht="44.25" customHeight="1">
      <c r="A92" s="66">
        <v>80</v>
      </c>
      <c r="B92" s="99"/>
      <c r="C92" s="90" t="s">
        <v>422</v>
      </c>
      <c r="D92" s="38" t="s">
        <v>534</v>
      </c>
      <c r="E92" s="38"/>
      <c r="F92" s="452">
        <v>13479</v>
      </c>
      <c r="G92" s="764">
        <v>4837</v>
      </c>
      <c r="H92" s="764"/>
      <c r="I92" s="617"/>
      <c r="J92" s="617">
        <v>8642</v>
      </c>
      <c r="K92" s="452">
        <v>19581</v>
      </c>
      <c r="L92" s="452">
        <v>8417</v>
      </c>
      <c r="M92" s="452"/>
      <c r="N92" s="452"/>
      <c r="O92" s="452">
        <v>11164</v>
      </c>
      <c r="P92" s="452">
        <v>-9791</v>
      </c>
      <c r="Q92" s="446">
        <v>-4209</v>
      </c>
      <c r="R92" s="454">
        <v>0</v>
      </c>
      <c r="S92" s="454">
        <v>0</v>
      </c>
      <c r="T92" s="455">
        <v>-5582</v>
      </c>
      <c r="U92" s="756">
        <f t="shared" si="30"/>
        <v>0</v>
      </c>
      <c r="V92" s="129" t="s">
        <v>326</v>
      </c>
      <c r="W92" s="452">
        <v>-6740</v>
      </c>
      <c r="X92" s="415">
        <v>10254</v>
      </c>
      <c r="Y92" s="764"/>
      <c r="Z92" s="764"/>
      <c r="AA92" s="764"/>
      <c r="AB92" s="764"/>
      <c r="AC92" s="492">
        <f t="shared" si="34"/>
        <v>10254</v>
      </c>
      <c r="AD92" s="452">
        <v>-5000</v>
      </c>
      <c r="AE92" s="446">
        <v>-2419</v>
      </c>
      <c r="AF92" s="454"/>
      <c r="AG92" s="454"/>
      <c r="AH92" s="455">
        <v>-4321</v>
      </c>
      <c r="AI92" s="456"/>
      <c r="AJ92" s="457"/>
      <c r="AK92" s="129" t="s">
        <v>326</v>
      </c>
      <c r="AL92" s="440" t="s">
        <v>421</v>
      </c>
      <c r="AM92" s="128">
        <f t="shared" si="31"/>
        <v>0</v>
      </c>
      <c r="AO92" s="753"/>
      <c r="AP92" s="753"/>
      <c r="AQ92" s="753"/>
      <c r="AR92" s="753"/>
      <c r="AS92" s="753"/>
      <c r="AT92" s="753"/>
      <c r="AU92" s="752">
        <f t="shared" si="29"/>
        <v>0</v>
      </c>
      <c r="AV92" s="207" t="str">
        <f t="shared" si="32"/>
        <v>OK</v>
      </c>
    </row>
    <row r="93" spans="1:48" ht="60.75" customHeight="1">
      <c r="A93" s="66">
        <v>81</v>
      </c>
      <c r="B93" s="99"/>
      <c r="C93" s="440"/>
      <c r="D93" s="38" t="s">
        <v>282</v>
      </c>
      <c r="E93" s="38" t="s">
        <v>801</v>
      </c>
      <c r="F93" s="445">
        <v>1120000</v>
      </c>
      <c r="G93" s="490">
        <v>616000</v>
      </c>
      <c r="H93" s="490">
        <v>252000</v>
      </c>
      <c r="I93" s="490">
        <v>251400</v>
      </c>
      <c r="J93" s="491">
        <v>600</v>
      </c>
      <c r="K93" s="445">
        <v>1250000</v>
      </c>
      <c r="L93" s="445">
        <v>687500</v>
      </c>
      <c r="M93" s="445">
        <v>281250</v>
      </c>
      <c r="N93" s="445">
        <v>280400</v>
      </c>
      <c r="O93" s="445">
        <v>850</v>
      </c>
      <c r="P93" s="445">
        <v>-437500</v>
      </c>
      <c r="Q93" s="446">
        <v>-240625</v>
      </c>
      <c r="R93" s="454">
        <v>-98438</v>
      </c>
      <c r="S93" s="454">
        <v>-98100</v>
      </c>
      <c r="T93" s="457">
        <v>-337</v>
      </c>
      <c r="U93" s="756">
        <f t="shared" si="30"/>
        <v>0</v>
      </c>
      <c r="V93" s="129" t="s">
        <v>327</v>
      </c>
      <c r="W93" s="445">
        <v>-392000</v>
      </c>
      <c r="X93" s="415">
        <v>1261800</v>
      </c>
      <c r="Y93" s="490">
        <v>692060</v>
      </c>
      <c r="Z93" s="490">
        <v>284870</v>
      </c>
      <c r="AA93" s="490">
        <v>275000</v>
      </c>
      <c r="AB93" s="491">
        <v>9870</v>
      </c>
      <c r="AC93" s="492">
        <f t="shared" si="34"/>
        <v>0</v>
      </c>
      <c r="AD93" s="445">
        <v>-442000</v>
      </c>
      <c r="AE93" s="446">
        <v>-215600</v>
      </c>
      <c r="AF93" s="454">
        <v>-88200</v>
      </c>
      <c r="AG93" s="454">
        <v>-88000</v>
      </c>
      <c r="AH93" s="455">
        <v>-200</v>
      </c>
      <c r="AI93" s="456"/>
      <c r="AJ93" s="457"/>
      <c r="AK93" s="129" t="s">
        <v>327</v>
      </c>
      <c r="AL93" s="440" t="s">
        <v>421</v>
      </c>
      <c r="AM93" s="128">
        <f t="shared" si="31"/>
        <v>0</v>
      </c>
      <c r="AO93" s="48">
        <v>-98438</v>
      </c>
      <c r="AP93" s="753">
        <v>0</v>
      </c>
      <c r="AQ93" s="753">
        <v>0</v>
      </c>
      <c r="AR93" s="753">
        <v>0</v>
      </c>
      <c r="AS93" s="753">
        <v>0</v>
      </c>
      <c r="AT93" s="753">
        <v>0</v>
      </c>
      <c r="AU93" s="752">
        <f t="shared" si="29"/>
        <v>-98438</v>
      </c>
      <c r="AV93" s="207" t="str">
        <f t="shared" si="32"/>
        <v>OK</v>
      </c>
    </row>
    <row r="94" spans="1:48" ht="55.5" customHeight="1">
      <c r="A94" s="66">
        <v>82</v>
      </c>
      <c r="B94" s="99"/>
      <c r="C94" s="91"/>
      <c r="D94" s="38" t="s">
        <v>283</v>
      </c>
      <c r="E94" s="38" t="s">
        <v>670</v>
      </c>
      <c r="F94" s="445">
        <v>1011984</v>
      </c>
      <c r="G94" s="490">
        <v>505992</v>
      </c>
      <c r="H94" s="490"/>
      <c r="I94" s="490">
        <v>505200</v>
      </c>
      <c r="J94" s="491">
        <v>792</v>
      </c>
      <c r="K94" s="445">
        <v>1099060</v>
      </c>
      <c r="L94" s="445">
        <v>549530</v>
      </c>
      <c r="M94" s="445"/>
      <c r="N94" s="445">
        <v>548700</v>
      </c>
      <c r="O94" s="445">
        <v>830</v>
      </c>
      <c r="P94" s="445">
        <v>-384671</v>
      </c>
      <c r="Q94" s="446">
        <v>-192336</v>
      </c>
      <c r="R94" s="454">
        <v>0</v>
      </c>
      <c r="S94" s="454">
        <v>-192000</v>
      </c>
      <c r="T94" s="455">
        <v>-335</v>
      </c>
      <c r="U94" s="756">
        <f t="shared" si="30"/>
        <v>0</v>
      </c>
      <c r="V94" s="129" t="s">
        <v>327</v>
      </c>
      <c r="W94" s="445">
        <v>-354194</v>
      </c>
      <c r="X94" s="415">
        <v>990562</v>
      </c>
      <c r="Y94" s="490">
        <v>495196</v>
      </c>
      <c r="Z94" s="490">
        <v>0</v>
      </c>
      <c r="AA94" s="490">
        <v>493600</v>
      </c>
      <c r="AB94" s="491">
        <v>1766</v>
      </c>
      <c r="AC94" s="492">
        <f t="shared" si="34"/>
        <v>0</v>
      </c>
      <c r="AD94" s="445">
        <v>-347000</v>
      </c>
      <c r="AE94" s="446">
        <v>-177097.2</v>
      </c>
      <c r="AF94" s="454"/>
      <c r="AG94" s="454">
        <v>-176800</v>
      </c>
      <c r="AH94" s="455">
        <v>-297</v>
      </c>
      <c r="AI94" s="456"/>
      <c r="AJ94" s="457"/>
      <c r="AK94" s="129" t="s">
        <v>327</v>
      </c>
      <c r="AL94" s="440" t="s">
        <v>421</v>
      </c>
      <c r="AM94" s="128">
        <f t="shared" si="31"/>
        <v>0.20000000001164153</v>
      </c>
      <c r="AO94" s="753">
        <v>0</v>
      </c>
      <c r="AP94" s="753">
        <v>0</v>
      </c>
      <c r="AQ94" s="753">
        <v>0</v>
      </c>
      <c r="AR94" s="753">
        <v>0</v>
      </c>
      <c r="AS94" s="753">
        <v>0</v>
      </c>
      <c r="AT94" s="753">
        <v>0</v>
      </c>
      <c r="AU94" s="752">
        <f t="shared" si="29"/>
        <v>0</v>
      </c>
      <c r="AV94" s="207" t="str">
        <f t="shared" si="32"/>
        <v>OK</v>
      </c>
    </row>
    <row r="95" spans="1:48" ht="107.25" customHeight="1">
      <c r="A95" s="66">
        <v>83</v>
      </c>
      <c r="B95" s="99"/>
      <c r="C95" s="91"/>
      <c r="D95" s="38" t="s">
        <v>284</v>
      </c>
      <c r="E95" s="38" t="s">
        <v>621</v>
      </c>
      <c r="F95" s="445">
        <v>143488</v>
      </c>
      <c r="G95" s="490"/>
      <c r="H95" s="490"/>
      <c r="I95" s="490">
        <v>142400</v>
      </c>
      <c r="J95" s="491">
        <v>1088</v>
      </c>
      <c r="K95" s="445">
        <v>143488</v>
      </c>
      <c r="L95" s="445"/>
      <c r="M95" s="445"/>
      <c r="N95" s="445"/>
      <c r="O95" s="445"/>
      <c r="P95" s="445">
        <v>-50221</v>
      </c>
      <c r="Q95" s="446"/>
      <c r="R95" s="454"/>
      <c r="S95" s="454">
        <v>-49800</v>
      </c>
      <c r="T95" s="455">
        <v>-421</v>
      </c>
      <c r="U95" s="756">
        <f t="shared" si="30"/>
        <v>0</v>
      </c>
      <c r="V95" s="129" t="s">
        <v>328</v>
      </c>
      <c r="W95" s="445">
        <f>-F95*0.35</f>
        <v>-50220.799999999996</v>
      </c>
      <c r="X95" s="415">
        <v>143488</v>
      </c>
      <c r="Y95" s="490">
        <v>0</v>
      </c>
      <c r="Z95" s="490">
        <v>0</v>
      </c>
      <c r="AA95" s="490">
        <v>143400</v>
      </c>
      <c r="AB95" s="491">
        <v>88</v>
      </c>
      <c r="AC95" s="492">
        <f t="shared" si="34"/>
        <v>0</v>
      </c>
      <c r="AD95" s="445">
        <v>-50000</v>
      </c>
      <c r="AE95" s="446"/>
      <c r="AF95" s="454"/>
      <c r="AG95" s="454">
        <v>-49800</v>
      </c>
      <c r="AH95" s="455">
        <v>-421</v>
      </c>
      <c r="AI95" s="456"/>
      <c r="AJ95" s="457"/>
      <c r="AK95" s="129" t="s">
        <v>328</v>
      </c>
      <c r="AL95" s="440" t="s">
        <v>421</v>
      </c>
      <c r="AM95" s="128">
        <f t="shared" si="31"/>
        <v>0.20000000000436557</v>
      </c>
      <c r="AO95" s="753">
        <v>0</v>
      </c>
      <c r="AP95" s="753">
        <v>0</v>
      </c>
      <c r="AQ95" s="753">
        <v>0</v>
      </c>
      <c r="AR95" s="753">
        <v>0</v>
      </c>
      <c r="AS95" s="753">
        <v>0</v>
      </c>
      <c r="AT95" s="753">
        <v>0</v>
      </c>
      <c r="AU95" s="752">
        <f t="shared" si="29"/>
        <v>0</v>
      </c>
      <c r="AV95" s="207" t="str">
        <f t="shared" si="32"/>
        <v>OK</v>
      </c>
    </row>
    <row r="96" spans="1:48" ht="46.5" customHeight="1" thickBot="1">
      <c r="A96" s="66">
        <v>84</v>
      </c>
      <c r="B96" s="99"/>
      <c r="C96" s="639" t="s">
        <v>27</v>
      </c>
      <c r="D96" s="56" t="s">
        <v>333</v>
      </c>
      <c r="E96" s="51" t="s">
        <v>535</v>
      </c>
      <c r="F96" s="482">
        <v>4950</v>
      </c>
      <c r="G96" s="427"/>
      <c r="H96" s="427">
        <v>607</v>
      </c>
      <c r="I96" s="427"/>
      <c r="J96" s="427">
        <v>4343</v>
      </c>
      <c r="K96" s="482">
        <v>4950</v>
      </c>
      <c r="L96" s="482"/>
      <c r="M96" s="482"/>
      <c r="N96" s="482"/>
      <c r="O96" s="482"/>
      <c r="P96" s="482">
        <v>-4950</v>
      </c>
      <c r="Q96" s="483"/>
      <c r="R96" s="484">
        <v>-607</v>
      </c>
      <c r="S96" s="484"/>
      <c r="T96" s="485">
        <v>-4343</v>
      </c>
      <c r="U96" s="756">
        <f t="shared" si="30"/>
        <v>0</v>
      </c>
      <c r="V96" s="145" t="s">
        <v>857</v>
      </c>
      <c r="W96" s="482">
        <v>-4950</v>
      </c>
      <c r="X96" s="426">
        <v>4950</v>
      </c>
      <c r="Y96" s="427"/>
      <c r="Z96" s="427"/>
      <c r="AA96" s="427"/>
      <c r="AB96" s="427"/>
      <c r="AC96" s="492">
        <f t="shared" si="34"/>
        <v>4950</v>
      </c>
      <c r="AD96" s="482">
        <v>-4950</v>
      </c>
      <c r="AE96" s="483"/>
      <c r="AF96" s="484">
        <v>-607</v>
      </c>
      <c r="AG96" s="484"/>
      <c r="AH96" s="485">
        <v>-4343</v>
      </c>
      <c r="AI96" s="486"/>
      <c r="AJ96" s="487"/>
      <c r="AK96" s="145" t="s">
        <v>857</v>
      </c>
      <c r="AL96" s="440" t="s">
        <v>421</v>
      </c>
      <c r="AM96" s="128">
        <f t="shared" si="31"/>
        <v>0</v>
      </c>
      <c r="AO96" s="753"/>
      <c r="AP96" s="53">
        <v>-607</v>
      </c>
      <c r="AQ96" s="753"/>
      <c r="AR96" s="753"/>
      <c r="AS96" s="753"/>
      <c r="AT96" s="753"/>
      <c r="AU96" s="752">
        <f t="shared" si="29"/>
        <v>-607</v>
      </c>
      <c r="AV96" s="207" t="str">
        <f t="shared" si="32"/>
        <v>OK</v>
      </c>
    </row>
    <row r="97" spans="2:48" ht="31.5" customHeight="1" thickBot="1">
      <c r="B97" s="95"/>
      <c r="C97" s="96"/>
      <c r="D97" s="57"/>
      <c r="E97" s="57" t="s">
        <v>403</v>
      </c>
      <c r="F97" s="467">
        <f>SUM(F55:F96)</f>
        <v>86600715</v>
      </c>
      <c r="G97" s="373"/>
      <c r="H97" s="373"/>
      <c r="I97" s="373"/>
      <c r="J97" s="373"/>
      <c r="K97" s="467">
        <f>SUM(K55:K96)</f>
        <v>71980204</v>
      </c>
      <c r="L97" s="467"/>
      <c r="M97" s="467"/>
      <c r="N97" s="467"/>
      <c r="O97" s="467"/>
      <c r="P97" s="815">
        <f>SUM(P55:P96)</f>
        <v>-42359710</v>
      </c>
      <c r="Q97" s="476">
        <f>SUM(Q55:Q96)</f>
        <v>-9256104</v>
      </c>
      <c r="R97" s="464">
        <f>SUM(R55:R96)</f>
        <v>-1725353</v>
      </c>
      <c r="S97" s="464">
        <f>SUM(S55:S96)</f>
        <v>-28683800</v>
      </c>
      <c r="T97" s="465">
        <f>SUM(T55:T96)</f>
        <v>-2694453</v>
      </c>
      <c r="U97" s="756">
        <f t="shared" si="30"/>
        <v>0</v>
      </c>
      <c r="V97" s="144"/>
      <c r="W97" s="467">
        <f>SUM(W55:W96)</f>
        <v>-48182621.8</v>
      </c>
      <c r="X97" s="422">
        <f>SUM(X55:X96)</f>
        <v>80916408</v>
      </c>
      <c r="Y97" s="373"/>
      <c r="Z97" s="373"/>
      <c r="AA97" s="373"/>
      <c r="AB97" s="373"/>
      <c r="AC97" s="492">
        <f t="shared" si="34"/>
        <v>80916408</v>
      </c>
      <c r="AD97" s="467">
        <f>SUM(AD55:AD96)</f>
        <v>-49723809</v>
      </c>
      <c r="AE97" s="466">
        <f>SUM(AE55:AE96)</f>
        <v>-11216121.2</v>
      </c>
      <c r="AF97" s="464">
        <f>SUM(AF55:AF96)</f>
        <v>-2206805</v>
      </c>
      <c r="AG97" s="464">
        <f>SUM(AG55:AG96)</f>
        <v>-32200100</v>
      </c>
      <c r="AH97" s="465">
        <f>SUM(AH55:AH96)</f>
        <v>-2559596</v>
      </c>
      <c r="AI97" s="466"/>
      <c r="AJ97" s="465"/>
      <c r="AK97" s="144"/>
      <c r="AL97" s="440"/>
      <c r="AM97" s="128">
        <f t="shared" si="31"/>
        <v>0.4000000059604645</v>
      </c>
      <c r="AO97" s="59">
        <f aca="true" t="shared" si="35" ref="AO97:AT97">SUM(AO55:AO96)</f>
        <v>-1439260</v>
      </c>
      <c r="AP97" s="59">
        <f t="shared" si="35"/>
        <v>-6986</v>
      </c>
      <c r="AQ97" s="59">
        <f t="shared" si="35"/>
        <v>0</v>
      </c>
      <c r="AR97" s="59">
        <f t="shared" si="35"/>
        <v>-300</v>
      </c>
      <c r="AS97" s="59">
        <f t="shared" si="35"/>
        <v>-137300</v>
      </c>
      <c r="AT97" s="59">
        <f t="shared" si="35"/>
        <v>-141507</v>
      </c>
      <c r="AU97" s="752">
        <f t="shared" si="29"/>
        <v>-1725353</v>
      </c>
      <c r="AV97" s="207" t="str">
        <f t="shared" si="32"/>
        <v>OK</v>
      </c>
    </row>
    <row r="98" spans="1:48" ht="42" customHeight="1" thickBot="1">
      <c r="A98" s="66">
        <v>85</v>
      </c>
      <c r="B98" s="88" t="s">
        <v>416</v>
      </c>
      <c r="C98" s="90" t="s">
        <v>400</v>
      </c>
      <c r="D98" s="51" t="s">
        <v>401</v>
      </c>
      <c r="E98" s="51" t="s">
        <v>402</v>
      </c>
      <c r="F98" s="482">
        <v>9200</v>
      </c>
      <c r="G98" s="427"/>
      <c r="H98" s="427"/>
      <c r="I98" s="427"/>
      <c r="J98" s="427"/>
      <c r="K98" s="482">
        <v>92000</v>
      </c>
      <c r="L98" s="482"/>
      <c r="M98" s="482"/>
      <c r="N98" s="482"/>
      <c r="O98" s="482"/>
      <c r="P98" s="482">
        <v>-46000</v>
      </c>
      <c r="Q98" s="483">
        <v>-23000</v>
      </c>
      <c r="R98" s="484"/>
      <c r="S98" s="484"/>
      <c r="T98" s="485">
        <v>-23000</v>
      </c>
      <c r="U98" s="756">
        <f aca="true" t="shared" si="36" ref="U98:U115">P98-Q98-R98-S98-T98</f>
        <v>0</v>
      </c>
      <c r="V98" s="145" t="s">
        <v>656</v>
      </c>
      <c r="W98" s="482">
        <v>-4600</v>
      </c>
      <c r="X98" s="426">
        <v>92000</v>
      </c>
      <c r="Y98" s="427"/>
      <c r="Z98" s="427"/>
      <c r="AA98" s="427"/>
      <c r="AB98" s="427"/>
      <c r="AC98" s="624">
        <f t="shared" si="34"/>
        <v>92000</v>
      </c>
      <c r="AD98" s="482">
        <v>-46000</v>
      </c>
      <c r="AE98" s="483">
        <v>-2300</v>
      </c>
      <c r="AF98" s="484"/>
      <c r="AG98" s="484"/>
      <c r="AH98" s="485">
        <v>-2300</v>
      </c>
      <c r="AI98" s="486"/>
      <c r="AJ98" s="487"/>
      <c r="AK98" s="145" t="s">
        <v>656</v>
      </c>
      <c r="AL98" s="440" t="s">
        <v>421</v>
      </c>
      <c r="AM98" s="128">
        <f aca="true" t="shared" si="37" ref="AM98:AM115">W98-AE98-AF98-AG98-AH98</f>
        <v>0</v>
      </c>
      <c r="AO98" s="25"/>
      <c r="AP98" s="48"/>
      <c r="AS98" s="25"/>
      <c r="AU98" s="752">
        <f aca="true" t="shared" si="38" ref="AU98:AU114">SUM(AO98:AT98)</f>
        <v>0</v>
      </c>
      <c r="AV98" s="207" t="str">
        <f aca="true" t="shared" si="39" ref="AV98:AV115">IF(R98=AU98,"OK","OUT")</f>
        <v>OK</v>
      </c>
    </row>
    <row r="99" spans="2:48" ht="31.5" customHeight="1" thickBot="1">
      <c r="B99" s="95"/>
      <c r="C99" s="96"/>
      <c r="D99" s="57"/>
      <c r="E99" s="57" t="s">
        <v>403</v>
      </c>
      <c r="F99" s="333">
        <f>SUM(F98:F98)</f>
        <v>9200</v>
      </c>
      <c r="G99" s="373"/>
      <c r="H99" s="373"/>
      <c r="I99" s="373"/>
      <c r="J99" s="373"/>
      <c r="K99" s="333">
        <f>SUM(K98:K98)</f>
        <v>92000</v>
      </c>
      <c r="L99" s="333"/>
      <c r="M99" s="333"/>
      <c r="N99" s="333"/>
      <c r="O99" s="333"/>
      <c r="P99" s="670">
        <f>SUM(P98:P98)</f>
        <v>-46000</v>
      </c>
      <c r="Q99" s="816">
        <f>SUM(Q98:Q98)</f>
        <v>-23000</v>
      </c>
      <c r="R99" s="105">
        <f>SUM(R98:R98)</f>
        <v>0</v>
      </c>
      <c r="S99" s="105">
        <f>SUM(S98:S98)</f>
        <v>0</v>
      </c>
      <c r="T99" s="106">
        <f>SUM(T98:T98)</f>
        <v>-23000</v>
      </c>
      <c r="U99" s="756">
        <f t="shared" si="36"/>
        <v>0</v>
      </c>
      <c r="V99" s="144"/>
      <c r="W99" s="333">
        <f>SUM(W98:W98)</f>
        <v>-4600</v>
      </c>
      <c r="X99" s="422">
        <f>SUM(X98:X98)</f>
        <v>92000</v>
      </c>
      <c r="Y99" s="373"/>
      <c r="Z99" s="373"/>
      <c r="AA99" s="373"/>
      <c r="AB99" s="373"/>
      <c r="AC99" s="623">
        <f t="shared" si="34"/>
        <v>92000</v>
      </c>
      <c r="AD99" s="333">
        <f>SUM(AD98:AD98)</f>
        <v>-46000</v>
      </c>
      <c r="AE99" s="121">
        <f>SUM(AE98:AE98)</f>
        <v>-2300</v>
      </c>
      <c r="AF99" s="105">
        <f>SUM(AF98:AF98)</f>
        <v>0</v>
      </c>
      <c r="AG99" s="105">
        <f>SUM(AG98:AG98)</f>
        <v>0</v>
      </c>
      <c r="AH99" s="106">
        <f>SUM(AH98:AH98)</f>
        <v>-2300</v>
      </c>
      <c r="AI99" s="121"/>
      <c r="AJ99" s="106"/>
      <c r="AK99" s="144"/>
      <c r="AL99" s="440"/>
      <c r="AM99" s="128">
        <f t="shared" si="37"/>
        <v>0</v>
      </c>
      <c r="AO99" s="103">
        <f aca="true" t="shared" si="40" ref="AO99:AT99">SUM(AO98:AO98)</f>
        <v>0</v>
      </c>
      <c r="AP99" s="103">
        <f t="shared" si="40"/>
        <v>0</v>
      </c>
      <c r="AQ99" s="103">
        <f t="shared" si="40"/>
        <v>0</v>
      </c>
      <c r="AR99" s="103">
        <f t="shared" si="40"/>
        <v>0</v>
      </c>
      <c r="AS99" s="103">
        <f t="shared" si="40"/>
        <v>0</v>
      </c>
      <c r="AT99" s="103">
        <f t="shared" si="40"/>
        <v>0</v>
      </c>
      <c r="AU99" s="752">
        <f t="shared" si="38"/>
        <v>0</v>
      </c>
      <c r="AV99" s="207" t="str">
        <f t="shared" si="39"/>
        <v>OK</v>
      </c>
    </row>
    <row r="100" spans="1:48" ht="40.5" customHeight="1">
      <c r="A100" s="66">
        <v>86</v>
      </c>
      <c r="B100" s="89" t="s">
        <v>415</v>
      </c>
      <c r="C100" s="217" t="s">
        <v>571</v>
      </c>
      <c r="D100" s="50" t="s">
        <v>589</v>
      </c>
      <c r="E100" s="50"/>
      <c r="F100" s="334">
        <v>2732</v>
      </c>
      <c r="G100" s="414"/>
      <c r="H100" s="414"/>
      <c r="I100" s="414"/>
      <c r="J100" s="414"/>
      <c r="K100" s="334">
        <v>2703</v>
      </c>
      <c r="L100" s="334"/>
      <c r="M100" s="334"/>
      <c r="N100" s="334"/>
      <c r="O100" s="334"/>
      <c r="P100" s="334">
        <v>-2703</v>
      </c>
      <c r="Q100" s="176"/>
      <c r="R100" s="184"/>
      <c r="S100" s="184"/>
      <c r="T100" s="185">
        <v>-2703</v>
      </c>
      <c r="U100" s="756">
        <f t="shared" si="36"/>
        <v>0</v>
      </c>
      <c r="V100" s="142" t="s">
        <v>590</v>
      </c>
      <c r="W100" s="334">
        <v>-2732</v>
      </c>
      <c r="X100" s="413">
        <v>3418</v>
      </c>
      <c r="Y100" s="414"/>
      <c r="Z100" s="414"/>
      <c r="AA100" s="414"/>
      <c r="AB100" s="414"/>
      <c r="AC100" s="492">
        <f t="shared" si="34"/>
        <v>3418</v>
      </c>
      <c r="AD100" s="334">
        <v>-3418</v>
      </c>
      <c r="AE100" s="176"/>
      <c r="AF100" s="184"/>
      <c r="AG100" s="184"/>
      <c r="AH100" s="185">
        <v>-2732</v>
      </c>
      <c r="AI100" s="176"/>
      <c r="AJ100" s="186"/>
      <c r="AK100" s="142" t="s">
        <v>590</v>
      </c>
      <c r="AL100" s="440" t="s">
        <v>421</v>
      </c>
      <c r="AM100" s="128">
        <f t="shared" si="37"/>
        <v>0</v>
      </c>
      <c r="AU100" s="752">
        <f t="shared" si="38"/>
        <v>0</v>
      </c>
      <c r="AV100" s="207" t="str">
        <f t="shared" si="39"/>
        <v>OK</v>
      </c>
    </row>
    <row r="101" spans="1:48" ht="58.5" customHeight="1">
      <c r="A101" s="66">
        <v>87</v>
      </c>
      <c r="B101" s="497"/>
      <c r="C101" s="90" t="s">
        <v>423</v>
      </c>
      <c r="D101" s="56" t="s">
        <v>751</v>
      </c>
      <c r="E101" s="38" t="s">
        <v>807</v>
      </c>
      <c r="F101" s="332">
        <v>5342</v>
      </c>
      <c r="G101" s="416"/>
      <c r="H101" s="416"/>
      <c r="I101" s="416"/>
      <c r="J101" s="416"/>
      <c r="K101" s="332">
        <v>4776</v>
      </c>
      <c r="L101" s="332"/>
      <c r="M101" s="332"/>
      <c r="N101" s="332"/>
      <c r="O101" s="332"/>
      <c r="P101" s="332">
        <v>-4776</v>
      </c>
      <c r="Q101" s="320"/>
      <c r="R101" s="187"/>
      <c r="S101" s="187"/>
      <c r="T101" s="188">
        <v>-4776</v>
      </c>
      <c r="U101" s="756">
        <f t="shared" si="36"/>
        <v>0</v>
      </c>
      <c r="V101" s="129"/>
      <c r="W101" s="332">
        <v>-5342</v>
      </c>
      <c r="X101" s="415">
        <v>10485</v>
      </c>
      <c r="Y101" s="416"/>
      <c r="Z101" s="416"/>
      <c r="AA101" s="416"/>
      <c r="AB101" s="416"/>
      <c r="AC101" s="492">
        <f t="shared" si="34"/>
        <v>10485</v>
      </c>
      <c r="AD101" s="332">
        <v>-10485</v>
      </c>
      <c r="AE101" s="320"/>
      <c r="AF101" s="187"/>
      <c r="AG101" s="187"/>
      <c r="AH101" s="188">
        <v>-5342</v>
      </c>
      <c r="AI101" s="177"/>
      <c r="AJ101" s="189"/>
      <c r="AK101" s="129"/>
      <c r="AL101" s="440" t="s">
        <v>421</v>
      </c>
      <c r="AM101" s="128">
        <f t="shared" si="37"/>
        <v>0</v>
      </c>
      <c r="AU101" s="752">
        <f t="shared" si="38"/>
        <v>0</v>
      </c>
      <c r="AV101" s="207" t="str">
        <f t="shared" si="39"/>
        <v>OK</v>
      </c>
    </row>
    <row r="102" spans="1:48" ht="39" customHeight="1">
      <c r="A102" s="66">
        <v>88</v>
      </c>
      <c r="B102" s="497"/>
      <c r="C102" s="217"/>
      <c r="D102" s="56"/>
      <c r="E102" s="38" t="s">
        <v>663</v>
      </c>
      <c r="F102" s="332">
        <v>85061</v>
      </c>
      <c r="G102" s="416"/>
      <c r="H102" s="416"/>
      <c r="I102" s="416"/>
      <c r="J102" s="416"/>
      <c r="K102" s="332">
        <v>27075</v>
      </c>
      <c r="L102" s="332"/>
      <c r="M102" s="332"/>
      <c r="N102" s="332"/>
      <c r="O102" s="332"/>
      <c r="P102" s="332">
        <f>-K102</f>
        <v>-27075</v>
      </c>
      <c r="Q102" s="320"/>
      <c r="R102" s="187">
        <v>-27075</v>
      </c>
      <c r="S102" s="187"/>
      <c r="T102" s="188"/>
      <c r="U102" s="756">
        <f t="shared" si="36"/>
        <v>0</v>
      </c>
      <c r="V102" s="129"/>
      <c r="W102" s="332">
        <v>-85061</v>
      </c>
      <c r="X102" s="415"/>
      <c r="Y102" s="416"/>
      <c r="Z102" s="416"/>
      <c r="AA102" s="416"/>
      <c r="AB102" s="416"/>
      <c r="AC102" s="492"/>
      <c r="AD102" s="332"/>
      <c r="AE102" s="320"/>
      <c r="AF102" s="187"/>
      <c r="AG102" s="187"/>
      <c r="AH102" s="188">
        <v>-85061</v>
      </c>
      <c r="AI102" s="177"/>
      <c r="AJ102" s="189"/>
      <c r="AK102" s="129"/>
      <c r="AL102" s="440" t="s">
        <v>421</v>
      </c>
      <c r="AM102" s="128">
        <f t="shared" si="37"/>
        <v>0</v>
      </c>
      <c r="AS102" s="187">
        <v>-27075</v>
      </c>
      <c r="AU102" s="752">
        <f t="shared" si="38"/>
        <v>-27075</v>
      </c>
      <c r="AV102" s="207" t="str">
        <f t="shared" si="39"/>
        <v>OK</v>
      </c>
    </row>
    <row r="103" spans="1:48" ht="67.5" customHeight="1">
      <c r="A103" s="66">
        <v>89</v>
      </c>
      <c r="B103" s="497"/>
      <c r="C103" s="217"/>
      <c r="D103" s="56"/>
      <c r="E103" s="50" t="s">
        <v>864</v>
      </c>
      <c r="F103" s="334">
        <v>1605</v>
      </c>
      <c r="G103" s="414"/>
      <c r="H103" s="414"/>
      <c r="I103" s="414"/>
      <c r="J103" s="414"/>
      <c r="K103" s="334">
        <v>1500</v>
      </c>
      <c r="L103" s="334"/>
      <c r="M103" s="334"/>
      <c r="N103" s="334"/>
      <c r="O103" s="334"/>
      <c r="P103" s="334">
        <v>-1500</v>
      </c>
      <c r="Q103" s="398"/>
      <c r="R103" s="184"/>
      <c r="S103" s="184"/>
      <c r="T103" s="185">
        <v>-1500</v>
      </c>
      <c r="U103" s="756">
        <f t="shared" si="36"/>
        <v>0</v>
      </c>
      <c r="V103" s="142" t="s">
        <v>330</v>
      </c>
      <c r="W103" s="334">
        <v>-1605</v>
      </c>
      <c r="X103" s="413">
        <v>2947</v>
      </c>
      <c r="Y103" s="414"/>
      <c r="Z103" s="414"/>
      <c r="AA103" s="414"/>
      <c r="AB103" s="414"/>
      <c r="AC103" s="492">
        <f aca="true" t="shared" si="41" ref="AC103:AC112">X103-Y103-Z103-AA103-AB103</f>
        <v>2947</v>
      </c>
      <c r="AD103" s="334">
        <v>-2947</v>
      </c>
      <c r="AE103" s="398"/>
      <c r="AF103" s="184"/>
      <c r="AG103" s="184"/>
      <c r="AH103" s="185">
        <v>-1605</v>
      </c>
      <c r="AI103" s="176"/>
      <c r="AJ103" s="186"/>
      <c r="AK103" s="142" t="s">
        <v>330</v>
      </c>
      <c r="AL103" s="440" t="s">
        <v>752</v>
      </c>
      <c r="AM103" s="128">
        <f t="shared" si="37"/>
        <v>0</v>
      </c>
      <c r="AU103" s="752">
        <f t="shared" si="38"/>
        <v>0</v>
      </c>
      <c r="AV103" s="207" t="str">
        <f t="shared" si="39"/>
        <v>OK</v>
      </c>
    </row>
    <row r="104" spans="1:49" ht="52.5" customHeight="1">
      <c r="A104" s="66">
        <v>90</v>
      </c>
      <c r="B104" s="89"/>
      <c r="C104" s="217"/>
      <c r="D104" s="38" t="s">
        <v>596</v>
      </c>
      <c r="E104" s="38" t="s">
        <v>597</v>
      </c>
      <c r="F104" s="332">
        <v>21095</v>
      </c>
      <c r="G104" s="416"/>
      <c r="H104" s="416"/>
      <c r="I104" s="416"/>
      <c r="J104" s="416"/>
      <c r="K104" s="332">
        <v>19442</v>
      </c>
      <c r="L104" s="332"/>
      <c r="M104" s="332"/>
      <c r="N104" s="332"/>
      <c r="O104" s="332"/>
      <c r="P104" s="332">
        <v>-19442</v>
      </c>
      <c r="Q104" s="320"/>
      <c r="R104" s="187"/>
      <c r="S104" s="187"/>
      <c r="T104" s="188">
        <v>-19442</v>
      </c>
      <c r="U104" s="756">
        <f t="shared" si="36"/>
        <v>0</v>
      </c>
      <c r="V104" s="129"/>
      <c r="W104" s="332">
        <v>-21095</v>
      </c>
      <c r="X104" s="415">
        <v>20796</v>
      </c>
      <c r="Y104" s="416"/>
      <c r="Z104" s="416"/>
      <c r="AA104" s="416"/>
      <c r="AB104" s="416"/>
      <c r="AC104" s="492">
        <f t="shared" si="41"/>
        <v>20796</v>
      </c>
      <c r="AD104" s="332">
        <v>-20796</v>
      </c>
      <c r="AE104" s="320"/>
      <c r="AF104" s="187"/>
      <c r="AG104" s="187"/>
      <c r="AH104" s="188">
        <v>-21095</v>
      </c>
      <c r="AI104" s="177"/>
      <c r="AJ104" s="189"/>
      <c r="AK104" s="129"/>
      <c r="AL104" s="440" t="s">
        <v>421</v>
      </c>
      <c r="AM104" s="128">
        <f t="shared" si="37"/>
        <v>0</v>
      </c>
      <c r="AU104" s="752">
        <f t="shared" si="38"/>
        <v>0</v>
      </c>
      <c r="AV104" s="207" t="str">
        <f t="shared" si="39"/>
        <v>OK</v>
      </c>
      <c r="AW104" s="25"/>
    </row>
    <row r="105" spans="1:49" ht="52.5" customHeight="1">
      <c r="A105" s="66">
        <v>91</v>
      </c>
      <c r="B105" s="89"/>
      <c r="C105" s="217"/>
      <c r="D105" s="38" t="s">
        <v>591</v>
      </c>
      <c r="E105" s="38" t="s">
        <v>592</v>
      </c>
      <c r="F105" s="332">
        <v>504212</v>
      </c>
      <c r="G105" s="416">
        <v>26496</v>
      </c>
      <c r="H105" s="416"/>
      <c r="I105" s="416"/>
      <c r="J105" s="416">
        <v>477716</v>
      </c>
      <c r="K105" s="332">
        <v>445713</v>
      </c>
      <c r="L105" s="332"/>
      <c r="M105" s="332"/>
      <c r="N105" s="332"/>
      <c r="O105" s="332"/>
      <c r="P105" s="332">
        <v>-297142</v>
      </c>
      <c r="Q105" s="320"/>
      <c r="R105" s="187"/>
      <c r="S105" s="187"/>
      <c r="T105" s="188">
        <v>-297142</v>
      </c>
      <c r="U105" s="756">
        <f t="shared" si="36"/>
        <v>0</v>
      </c>
      <c r="V105" s="129" t="s">
        <v>60</v>
      </c>
      <c r="W105" s="332">
        <v>-168071</v>
      </c>
      <c r="X105" s="415">
        <v>515165</v>
      </c>
      <c r="Y105" s="416"/>
      <c r="Z105" s="416"/>
      <c r="AA105" s="416"/>
      <c r="AB105" s="416"/>
      <c r="AC105" s="492">
        <f t="shared" si="41"/>
        <v>515165</v>
      </c>
      <c r="AD105" s="332">
        <v>-154000</v>
      </c>
      <c r="AE105" s="320">
        <v>-8832</v>
      </c>
      <c r="AF105" s="187"/>
      <c r="AG105" s="187"/>
      <c r="AH105" s="188">
        <v>-159239</v>
      </c>
      <c r="AI105" s="177"/>
      <c r="AJ105" s="189"/>
      <c r="AK105" s="129" t="s">
        <v>60</v>
      </c>
      <c r="AL105" s="440" t="s">
        <v>421</v>
      </c>
      <c r="AM105" s="128">
        <f t="shared" si="37"/>
        <v>0</v>
      </c>
      <c r="AU105" s="752">
        <f t="shared" si="38"/>
        <v>0</v>
      </c>
      <c r="AV105" s="207" t="str">
        <f t="shared" si="39"/>
        <v>OK</v>
      </c>
      <c r="AW105" s="25"/>
    </row>
    <row r="106" spans="1:48" ht="37.5" customHeight="1">
      <c r="A106" s="66">
        <v>92</v>
      </c>
      <c r="B106" s="89"/>
      <c r="C106" s="93" t="s">
        <v>331</v>
      </c>
      <c r="D106" s="38" t="s">
        <v>215</v>
      </c>
      <c r="E106" s="38" t="s">
        <v>44</v>
      </c>
      <c r="F106" s="452">
        <v>16321</v>
      </c>
      <c r="G106" s="416"/>
      <c r="H106" s="416">
        <v>352</v>
      </c>
      <c r="I106" s="416"/>
      <c r="J106" s="416">
        <v>15969</v>
      </c>
      <c r="K106" s="452">
        <v>14273</v>
      </c>
      <c r="L106" s="452"/>
      <c r="M106" s="452"/>
      <c r="N106" s="452"/>
      <c r="O106" s="452"/>
      <c r="P106" s="452">
        <f aca="true" t="shared" si="42" ref="P106:P111">-K106</f>
        <v>-14273</v>
      </c>
      <c r="Q106" s="453"/>
      <c r="R106" s="454">
        <v>-541</v>
      </c>
      <c r="S106" s="454"/>
      <c r="T106" s="455">
        <v>-13732</v>
      </c>
      <c r="U106" s="756">
        <f t="shared" si="36"/>
        <v>0</v>
      </c>
      <c r="V106" s="129"/>
      <c r="W106" s="452">
        <v>-16321</v>
      </c>
      <c r="X106" s="415">
        <v>20340</v>
      </c>
      <c r="Y106" s="416"/>
      <c r="Z106" s="416"/>
      <c r="AA106" s="416"/>
      <c r="AB106" s="416"/>
      <c r="AC106" s="492">
        <f t="shared" si="41"/>
        <v>20340</v>
      </c>
      <c r="AD106" s="452">
        <v>-20340</v>
      </c>
      <c r="AE106" s="453"/>
      <c r="AF106" s="454">
        <v>-352</v>
      </c>
      <c r="AG106" s="454"/>
      <c r="AH106" s="455">
        <v>-15969</v>
      </c>
      <c r="AI106" s="456">
        <v>16321</v>
      </c>
      <c r="AJ106" s="457"/>
      <c r="AK106" s="129"/>
      <c r="AL106" s="440" t="s">
        <v>421</v>
      </c>
      <c r="AM106" s="128">
        <f t="shared" si="37"/>
        <v>0</v>
      </c>
      <c r="AP106" s="48">
        <v>-541</v>
      </c>
      <c r="AU106" s="752">
        <f t="shared" si="38"/>
        <v>-541</v>
      </c>
      <c r="AV106" s="207" t="str">
        <f t="shared" si="39"/>
        <v>OK</v>
      </c>
    </row>
    <row r="107" spans="1:50" ht="31.5" customHeight="1">
      <c r="A107" s="66">
        <v>93</v>
      </c>
      <c r="B107" s="99"/>
      <c r="C107" s="219" t="s">
        <v>424</v>
      </c>
      <c r="D107" s="51" t="s">
        <v>134</v>
      </c>
      <c r="E107" s="38" t="s">
        <v>135</v>
      </c>
      <c r="F107" s="452">
        <v>8216</v>
      </c>
      <c r="G107" s="416"/>
      <c r="H107" s="416"/>
      <c r="I107" s="416"/>
      <c r="J107" s="416"/>
      <c r="K107" s="452">
        <v>8216</v>
      </c>
      <c r="L107" s="452"/>
      <c r="M107" s="452"/>
      <c r="N107" s="452"/>
      <c r="O107" s="452"/>
      <c r="P107" s="452">
        <f t="shared" si="42"/>
        <v>-8216</v>
      </c>
      <c r="Q107" s="453"/>
      <c r="R107" s="454"/>
      <c r="S107" s="454"/>
      <c r="T107" s="455">
        <f aca="true" t="shared" si="43" ref="T107:T112">P107</f>
        <v>-8216</v>
      </c>
      <c r="U107" s="756">
        <f t="shared" si="36"/>
        <v>0</v>
      </c>
      <c r="V107" s="129" t="s">
        <v>72</v>
      </c>
      <c r="W107" s="452">
        <v>-8216</v>
      </c>
      <c r="X107" s="415">
        <v>8290</v>
      </c>
      <c r="Y107" s="416"/>
      <c r="Z107" s="416"/>
      <c r="AA107" s="416"/>
      <c r="AB107" s="416"/>
      <c r="AC107" s="492">
        <f t="shared" si="41"/>
        <v>8290</v>
      </c>
      <c r="AD107" s="452">
        <v>-8290</v>
      </c>
      <c r="AE107" s="453"/>
      <c r="AF107" s="454"/>
      <c r="AG107" s="454"/>
      <c r="AH107" s="455">
        <v>-8216</v>
      </c>
      <c r="AI107" s="456"/>
      <c r="AJ107" s="457"/>
      <c r="AK107" s="129" t="s">
        <v>72</v>
      </c>
      <c r="AL107" s="440" t="s">
        <v>421</v>
      </c>
      <c r="AM107" s="128">
        <f t="shared" si="37"/>
        <v>0</v>
      </c>
      <c r="AO107" s="25"/>
      <c r="AU107" s="752">
        <f t="shared" si="38"/>
        <v>0</v>
      </c>
      <c r="AV107" s="207" t="str">
        <f t="shared" si="39"/>
        <v>OK</v>
      </c>
      <c r="AX107" s="76">
        <f>SUM(W107:W111)-W109</f>
        <v>-49913</v>
      </c>
    </row>
    <row r="108" spans="1:48" ht="36.75" customHeight="1">
      <c r="A108" s="66">
        <v>94</v>
      </c>
      <c r="B108" s="99"/>
      <c r="C108" s="217"/>
      <c r="D108" s="56"/>
      <c r="E108" s="38" t="s">
        <v>623</v>
      </c>
      <c r="F108" s="452">
        <v>16920</v>
      </c>
      <c r="G108" s="416"/>
      <c r="H108" s="416"/>
      <c r="I108" s="416"/>
      <c r="J108" s="416"/>
      <c r="K108" s="452">
        <v>16098</v>
      </c>
      <c r="L108" s="452"/>
      <c r="M108" s="452"/>
      <c r="N108" s="452"/>
      <c r="O108" s="452"/>
      <c r="P108" s="452">
        <f t="shared" si="42"/>
        <v>-16098</v>
      </c>
      <c r="Q108" s="453"/>
      <c r="R108" s="454"/>
      <c r="S108" s="454"/>
      <c r="T108" s="455">
        <f t="shared" si="43"/>
        <v>-16098</v>
      </c>
      <c r="U108" s="756">
        <f t="shared" si="36"/>
        <v>0</v>
      </c>
      <c r="V108" s="129" t="s">
        <v>58</v>
      </c>
      <c r="W108" s="452">
        <v>-16920</v>
      </c>
      <c r="X108" s="415">
        <v>18000</v>
      </c>
      <c r="Y108" s="416"/>
      <c r="Z108" s="416"/>
      <c r="AA108" s="416"/>
      <c r="AB108" s="416"/>
      <c r="AC108" s="492">
        <f t="shared" si="41"/>
        <v>18000</v>
      </c>
      <c r="AD108" s="452">
        <v>-18000</v>
      </c>
      <c r="AE108" s="453"/>
      <c r="AF108" s="454"/>
      <c r="AG108" s="454"/>
      <c r="AH108" s="455">
        <v>-16920</v>
      </c>
      <c r="AI108" s="456"/>
      <c r="AJ108" s="457"/>
      <c r="AK108" s="129" t="s">
        <v>58</v>
      </c>
      <c r="AL108" s="440" t="s">
        <v>421</v>
      </c>
      <c r="AM108" s="128">
        <f t="shared" si="37"/>
        <v>0</v>
      </c>
      <c r="AO108" s="25"/>
      <c r="AU108" s="752">
        <f t="shared" si="38"/>
        <v>0</v>
      </c>
      <c r="AV108" s="207" t="str">
        <f t="shared" si="39"/>
        <v>OK</v>
      </c>
    </row>
    <row r="109" spans="1:48" ht="42.75" customHeight="1">
      <c r="A109" s="66">
        <v>95</v>
      </c>
      <c r="B109" s="89"/>
      <c r="C109" s="217"/>
      <c r="D109" s="56"/>
      <c r="E109" s="38" t="s">
        <v>484</v>
      </c>
      <c r="F109" s="452">
        <v>7737</v>
      </c>
      <c r="G109" s="416"/>
      <c r="H109" s="416"/>
      <c r="I109" s="416"/>
      <c r="J109" s="416"/>
      <c r="K109" s="452">
        <v>7737</v>
      </c>
      <c r="L109" s="452"/>
      <c r="M109" s="452"/>
      <c r="N109" s="452"/>
      <c r="O109" s="452"/>
      <c r="P109" s="452">
        <f t="shared" si="42"/>
        <v>-7737</v>
      </c>
      <c r="Q109" s="453"/>
      <c r="R109" s="454"/>
      <c r="S109" s="454"/>
      <c r="T109" s="455">
        <f t="shared" si="43"/>
        <v>-7737</v>
      </c>
      <c r="U109" s="756">
        <f t="shared" si="36"/>
        <v>0</v>
      </c>
      <c r="V109" s="129" t="s">
        <v>747</v>
      </c>
      <c r="W109" s="452">
        <v>-7737</v>
      </c>
      <c r="X109" s="415">
        <v>7762</v>
      </c>
      <c r="Y109" s="416"/>
      <c r="Z109" s="416"/>
      <c r="AA109" s="416"/>
      <c r="AB109" s="416"/>
      <c r="AC109" s="492">
        <f t="shared" si="41"/>
        <v>7762</v>
      </c>
      <c r="AD109" s="452">
        <v>-7762</v>
      </c>
      <c r="AE109" s="453"/>
      <c r="AF109" s="454"/>
      <c r="AG109" s="454"/>
      <c r="AH109" s="455">
        <v>-7737</v>
      </c>
      <c r="AI109" s="456"/>
      <c r="AJ109" s="457"/>
      <c r="AK109" s="129" t="s">
        <v>747</v>
      </c>
      <c r="AL109" s="440" t="s">
        <v>421</v>
      </c>
      <c r="AM109" s="128">
        <f t="shared" si="37"/>
        <v>0</v>
      </c>
      <c r="AO109" s="25"/>
      <c r="AU109" s="752">
        <f t="shared" si="38"/>
        <v>0</v>
      </c>
      <c r="AV109" s="207" t="str">
        <f t="shared" si="39"/>
        <v>OK</v>
      </c>
    </row>
    <row r="110" spans="1:48" ht="41.25" customHeight="1">
      <c r="A110" s="66">
        <v>96</v>
      </c>
      <c r="B110" s="99"/>
      <c r="C110" s="217"/>
      <c r="D110" s="56"/>
      <c r="E110" s="38" t="s">
        <v>5</v>
      </c>
      <c r="F110" s="452">
        <v>20877</v>
      </c>
      <c r="G110" s="416"/>
      <c r="H110" s="416"/>
      <c r="I110" s="416"/>
      <c r="J110" s="416"/>
      <c r="K110" s="452">
        <v>19685</v>
      </c>
      <c r="L110" s="452"/>
      <c r="M110" s="452"/>
      <c r="N110" s="452"/>
      <c r="O110" s="452"/>
      <c r="P110" s="452">
        <f t="shared" si="42"/>
        <v>-19685</v>
      </c>
      <c r="Q110" s="453"/>
      <c r="R110" s="454"/>
      <c r="S110" s="454"/>
      <c r="T110" s="455">
        <f t="shared" si="43"/>
        <v>-19685</v>
      </c>
      <c r="U110" s="756">
        <f t="shared" si="36"/>
        <v>0</v>
      </c>
      <c r="V110" s="129" t="s">
        <v>72</v>
      </c>
      <c r="W110" s="452">
        <v>-20877</v>
      </c>
      <c r="X110" s="415">
        <v>22400</v>
      </c>
      <c r="Y110" s="416"/>
      <c r="Z110" s="416"/>
      <c r="AA110" s="416"/>
      <c r="AB110" s="416"/>
      <c r="AC110" s="492">
        <f t="shared" si="41"/>
        <v>22400</v>
      </c>
      <c r="AD110" s="452">
        <v>-22400</v>
      </c>
      <c r="AE110" s="453"/>
      <c r="AF110" s="454"/>
      <c r="AG110" s="454"/>
      <c r="AH110" s="455">
        <v>-20877</v>
      </c>
      <c r="AI110" s="456"/>
      <c r="AJ110" s="457"/>
      <c r="AK110" s="129" t="s">
        <v>72</v>
      </c>
      <c r="AL110" s="440" t="s">
        <v>421</v>
      </c>
      <c r="AM110" s="128">
        <f t="shared" si="37"/>
        <v>0</v>
      </c>
      <c r="AU110" s="752">
        <f t="shared" si="38"/>
        <v>0</v>
      </c>
      <c r="AV110" s="207" t="str">
        <f t="shared" si="39"/>
        <v>OK</v>
      </c>
    </row>
    <row r="111" spans="1:48" ht="41.25" customHeight="1">
      <c r="A111" s="66">
        <v>97</v>
      </c>
      <c r="B111" s="99"/>
      <c r="C111" s="217"/>
      <c r="D111" s="56"/>
      <c r="E111" s="38" t="s">
        <v>808</v>
      </c>
      <c r="F111" s="452">
        <v>3900</v>
      </c>
      <c r="G111" s="416"/>
      <c r="H111" s="416"/>
      <c r="I111" s="416"/>
      <c r="J111" s="416"/>
      <c r="K111" s="452">
        <v>3528</v>
      </c>
      <c r="L111" s="452"/>
      <c r="M111" s="452"/>
      <c r="N111" s="452"/>
      <c r="O111" s="452"/>
      <c r="P111" s="452">
        <f t="shared" si="42"/>
        <v>-3528</v>
      </c>
      <c r="Q111" s="453"/>
      <c r="R111" s="454"/>
      <c r="S111" s="454"/>
      <c r="T111" s="455">
        <f t="shared" si="43"/>
        <v>-3528</v>
      </c>
      <c r="U111" s="756">
        <f t="shared" si="36"/>
        <v>0</v>
      </c>
      <c r="V111" s="129" t="s">
        <v>72</v>
      </c>
      <c r="W111" s="452">
        <v>-3900</v>
      </c>
      <c r="X111" s="415">
        <v>6454</v>
      </c>
      <c r="Y111" s="416"/>
      <c r="Z111" s="416"/>
      <c r="AA111" s="416"/>
      <c r="AB111" s="416"/>
      <c r="AC111" s="492">
        <f t="shared" si="41"/>
        <v>6454</v>
      </c>
      <c r="AD111" s="452">
        <v>-6454</v>
      </c>
      <c r="AE111" s="453"/>
      <c r="AF111" s="454"/>
      <c r="AG111" s="454"/>
      <c r="AH111" s="455">
        <v>-3900</v>
      </c>
      <c r="AI111" s="456"/>
      <c r="AJ111" s="457"/>
      <c r="AK111" s="129" t="s">
        <v>72</v>
      </c>
      <c r="AL111" s="440" t="s">
        <v>421</v>
      </c>
      <c r="AM111" s="128">
        <f t="shared" si="37"/>
        <v>0</v>
      </c>
      <c r="AU111" s="752">
        <f t="shared" si="38"/>
        <v>0</v>
      </c>
      <c r="AV111" s="207" t="str">
        <f t="shared" si="39"/>
        <v>OK</v>
      </c>
    </row>
    <row r="112" spans="1:48" ht="43.5" customHeight="1" thickBot="1">
      <c r="A112" s="66">
        <v>98</v>
      </c>
      <c r="B112" s="99"/>
      <c r="C112" s="221" t="s">
        <v>384</v>
      </c>
      <c r="D112" s="38" t="s">
        <v>385</v>
      </c>
      <c r="E112" s="38"/>
      <c r="F112" s="452">
        <v>4510</v>
      </c>
      <c r="G112" s="416"/>
      <c r="H112" s="416"/>
      <c r="I112" s="416"/>
      <c r="J112" s="416"/>
      <c r="K112" s="452">
        <v>4057</v>
      </c>
      <c r="L112" s="452"/>
      <c r="M112" s="452"/>
      <c r="N112" s="452"/>
      <c r="O112" s="452"/>
      <c r="P112" s="452">
        <v>-4057</v>
      </c>
      <c r="Q112" s="453"/>
      <c r="R112" s="454"/>
      <c r="S112" s="454"/>
      <c r="T112" s="455">
        <f t="shared" si="43"/>
        <v>-4057</v>
      </c>
      <c r="U112" s="756">
        <f t="shared" si="36"/>
        <v>0</v>
      </c>
      <c r="V112" s="145" t="s">
        <v>95</v>
      </c>
      <c r="W112" s="452">
        <v>-4510</v>
      </c>
      <c r="X112" s="415">
        <v>4902</v>
      </c>
      <c r="Y112" s="416"/>
      <c r="Z112" s="416"/>
      <c r="AA112" s="416"/>
      <c r="AB112" s="416"/>
      <c r="AC112" s="492">
        <f t="shared" si="41"/>
        <v>4902</v>
      </c>
      <c r="AD112" s="452">
        <v>-2500</v>
      </c>
      <c r="AE112" s="453"/>
      <c r="AF112" s="454"/>
      <c r="AG112" s="454"/>
      <c r="AH112" s="455">
        <v>-4510</v>
      </c>
      <c r="AI112" s="486"/>
      <c r="AJ112" s="487"/>
      <c r="AK112" s="145" t="s">
        <v>95</v>
      </c>
      <c r="AL112" s="440" t="s">
        <v>421</v>
      </c>
      <c r="AM112" s="128">
        <f t="shared" si="37"/>
        <v>0</v>
      </c>
      <c r="AO112" s="25"/>
      <c r="AU112" s="752">
        <f t="shared" si="38"/>
        <v>0</v>
      </c>
      <c r="AV112" s="207" t="str">
        <f t="shared" si="39"/>
        <v>OK</v>
      </c>
    </row>
    <row r="113" spans="2:48" ht="31.5" customHeight="1" thickBot="1">
      <c r="B113" s="95"/>
      <c r="C113" s="69"/>
      <c r="D113" s="57"/>
      <c r="E113" s="57" t="s">
        <v>403</v>
      </c>
      <c r="F113" s="467">
        <f aca="true" t="shared" si="44" ref="F113:K113">SUM(F100:F112)</f>
        <v>698528</v>
      </c>
      <c r="G113" s="373">
        <f t="shared" si="44"/>
        <v>26496</v>
      </c>
      <c r="H113" s="373">
        <f t="shared" si="44"/>
        <v>352</v>
      </c>
      <c r="I113" s="373">
        <f t="shared" si="44"/>
        <v>0</v>
      </c>
      <c r="J113" s="373">
        <f t="shared" si="44"/>
        <v>493685</v>
      </c>
      <c r="K113" s="467">
        <f t="shared" si="44"/>
        <v>574803</v>
      </c>
      <c r="L113" s="467"/>
      <c r="M113" s="467"/>
      <c r="N113" s="467"/>
      <c r="O113" s="467"/>
      <c r="P113" s="467">
        <f>SUM(P100:P112)</f>
        <v>-426232</v>
      </c>
      <c r="Q113" s="468">
        <f>SUM(Q100:Q112)</f>
        <v>0</v>
      </c>
      <c r="R113" s="464">
        <f>SUM(R100:R112)</f>
        <v>-27616</v>
      </c>
      <c r="S113" s="464">
        <f>SUM(S100:S112)</f>
        <v>0</v>
      </c>
      <c r="T113" s="465">
        <f>SUM(T100:T112)</f>
        <v>-398616</v>
      </c>
      <c r="U113" s="756">
        <f t="shared" si="36"/>
        <v>0</v>
      </c>
      <c r="V113" s="144"/>
      <c r="W113" s="467">
        <f>SUM(W100:W112)</f>
        <v>-362387</v>
      </c>
      <c r="X113" s="422">
        <f>SUM(X100:X112)</f>
        <v>640959</v>
      </c>
      <c r="Y113" s="373"/>
      <c r="Z113" s="373"/>
      <c r="AA113" s="373"/>
      <c r="AB113" s="373"/>
      <c r="AC113" s="373"/>
      <c r="AD113" s="467">
        <f>SUM(AD100:AD112)</f>
        <v>-277392</v>
      </c>
      <c r="AE113" s="468">
        <f>SUM(AE100:AE112)</f>
        <v>-8832</v>
      </c>
      <c r="AF113" s="464">
        <f>SUM(AF100:AF112)</f>
        <v>-352</v>
      </c>
      <c r="AG113" s="464">
        <f>SUM(AG100:AG112)</f>
        <v>0</v>
      </c>
      <c r="AH113" s="465">
        <f>SUM(AH100:AH112)</f>
        <v>-353203</v>
      </c>
      <c r="AI113" s="466"/>
      <c r="AJ113" s="465"/>
      <c r="AK113" s="144"/>
      <c r="AL113" s="440"/>
      <c r="AM113" s="128">
        <f t="shared" si="37"/>
        <v>0</v>
      </c>
      <c r="AO113" s="59">
        <f aca="true" t="shared" si="45" ref="AO113:AT113">SUM(AO100:AO112)</f>
        <v>0</v>
      </c>
      <c r="AP113" s="59">
        <f t="shared" si="45"/>
        <v>-541</v>
      </c>
      <c r="AQ113" s="59">
        <f t="shared" si="45"/>
        <v>0</v>
      </c>
      <c r="AR113" s="59">
        <f t="shared" si="45"/>
        <v>0</v>
      </c>
      <c r="AS113" s="59">
        <f t="shared" si="45"/>
        <v>-27075</v>
      </c>
      <c r="AT113" s="59">
        <f t="shared" si="45"/>
        <v>0</v>
      </c>
      <c r="AU113" s="752">
        <f t="shared" si="38"/>
        <v>-27616</v>
      </c>
      <c r="AV113" s="207" t="str">
        <f t="shared" si="39"/>
        <v>OK</v>
      </c>
    </row>
    <row r="114" spans="1:48" ht="39.75" customHeight="1" thickBot="1">
      <c r="A114" s="66">
        <v>99</v>
      </c>
      <c r="B114" s="108" t="s">
        <v>673</v>
      </c>
      <c r="C114" s="69" t="s">
        <v>673</v>
      </c>
      <c r="D114" s="57" t="s">
        <v>673</v>
      </c>
      <c r="E114" s="63"/>
      <c r="F114" s="467">
        <v>1000000</v>
      </c>
      <c r="G114" s="433"/>
      <c r="H114" s="433"/>
      <c r="I114" s="433"/>
      <c r="J114" s="433">
        <v>1000000</v>
      </c>
      <c r="K114" s="467">
        <v>1000000</v>
      </c>
      <c r="L114" s="467"/>
      <c r="M114" s="467"/>
      <c r="N114" s="467"/>
      <c r="O114" s="467"/>
      <c r="P114" s="467">
        <v>-500000</v>
      </c>
      <c r="Q114" s="500"/>
      <c r="R114" s="464"/>
      <c r="S114" s="464"/>
      <c r="T114" s="465">
        <v>-500000</v>
      </c>
      <c r="U114" s="756">
        <f t="shared" si="36"/>
        <v>0</v>
      </c>
      <c r="V114" s="87" t="s">
        <v>332</v>
      </c>
      <c r="W114" s="467">
        <v>-500000</v>
      </c>
      <c r="X114" s="432">
        <v>1000000</v>
      </c>
      <c r="Y114" s="433"/>
      <c r="Z114" s="433"/>
      <c r="AA114" s="433"/>
      <c r="AB114" s="433"/>
      <c r="AC114" s="433"/>
      <c r="AD114" s="467">
        <v>-500000</v>
      </c>
      <c r="AE114" s="500"/>
      <c r="AF114" s="464"/>
      <c r="AG114" s="464"/>
      <c r="AH114" s="465">
        <v>-500000</v>
      </c>
      <c r="AI114" s="500"/>
      <c r="AJ114" s="465"/>
      <c r="AK114" s="87" t="s">
        <v>332</v>
      </c>
      <c r="AL114" s="440" t="s">
        <v>421</v>
      </c>
      <c r="AM114" s="128">
        <f t="shared" si="37"/>
        <v>0</v>
      </c>
      <c r="AU114" s="752">
        <f t="shared" si="38"/>
        <v>0</v>
      </c>
      <c r="AV114" s="207" t="str">
        <f t="shared" si="39"/>
        <v>OK</v>
      </c>
    </row>
    <row r="115" spans="2:49" ht="31.5" customHeight="1" thickBot="1">
      <c r="B115" s="109"/>
      <c r="C115" s="65"/>
      <c r="D115" s="65"/>
      <c r="E115" s="57" t="s">
        <v>156</v>
      </c>
      <c r="F115" s="31">
        <f aca="true" t="shared" si="46" ref="F115:K115">F8+F28+F32+F35+F40+F45+F54+F97+F99+F113+F114</f>
        <v>112899873</v>
      </c>
      <c r="G115" s="376">
        <f t="shared" si="46"/>
        <v>844991</v>
      </c>
      <c r="H115" s="376">
        <f t="shared" si="46"/>
        <v>5171079</v>
      </c>
      <c r="I115" s="376">
        <f t="shared" si="46"/>
        <v>2790400</v>
      </c>
      <c r="J115" s="376">
        <f t="shared" si="46"/>
        <v>13149495</v>
      </c>
      <c r="K115" s="31">
        <f t="shared" si="46"/>
        <v>97469418</v>
      </c>
      <c r="L115" s="31"/>
      <c r="M115" s="31"/>
      <c r="N115" s="31"/>
      <c r="O115" s="31"/>
      <c r="P115" s="31">
        <f>P8+P28+P32+P35+P40+P45+P54+P97+P99+P113+P114</f>
        <v>-57005541</v>
      </c>
      <c r="Q115" s="369">
        <f>Q8+Q28+Q32+Q35+Q40+Q45+Q54+Q97+Q99+Q113+Q114</f>
        <v>-9837991</v>
      </c>
      <c r="R115" s="111">
        <f>R8+R28+R32+R35+R40+R45+R54+R97+R99+R113+R114</f>
        <v>-4513356</v>
      </c>
      <c r="S115" s="111">
        <f>S8+S28+S32+S35+S40+S45+S54+S97+S99+S113+S114</f>
        <v>-31039700</v>
      </c>
      <c r="T115" s="112">
        <f>T8+T28+T32+T35+T40+T45+T54+T97+T99+T113+T114</f>
        <v>-11614494</v>
      </c>
      <c r="U115" s="734">
        <f t="shared" si="36"/>
        <v>0</v>
      </c>
      <c r="V115" s="87"/>
      <c r="W115" s="31">
        <f>W8+W28+W32+W35+W40+W45+W54+W97+W99+W113+W114</f>
        <v>-63936604.8</v>
      </c>
      <c r="X115" s="375">
        <f>X8+X28+X32+X35+X40+X45+X54+X97+X99+X113+X114</f>
        <v>109101279</v>
      </c>
      <c r="Y115" s="376"/>
      <c r="Z115" s="376"/>
      <c r="AA115" s="376"/>
      <c r="AB115" s="376"/>
      <c r="AC115" s="376"/>
      <c r="AD115" s="31">
        <f>AD8+AD28+AD32+AD35+AD40+AD45+AD54+AD97+AD99+AD113+AD114</f>
        <v>-65787735</v>
      </c>
      <c r="AE115" s="114">
        <f>AE8+AE28+AE32+AE35+AE40+AE45+AE54+AE97+AE99+AE113+AE114</f>
        <v>-11799782.2</v>
      </c>
      <c r="AF115" s="111">
        <f>AF8+AF28+AF32+AF35+AF40+AF45+AF54+AF97+AF99+AF113+AF114</f>
        <v>-5678112</v>
      </c>
      <c r="AG115" s="111">
        <f>AG8+AG28+AG32+AG35+AG40+AG45+AG54+AG97+AG99+AG113+AG114</f>
        <v>-34805500</v>
      </c>
      <c r="AH115" s="111">
        <f>AH8+AH28+AH32+AH35+AH40+AH45+AH54+AH97+AH99+AH113+AH114</f>
        <v>-11653211</v>
      </c>
      <c r="AI115" s="114"/>
      <c r="AJ115" s="112"/>
      <c r="AK115" s="87"/>
      <c r="AM115" s="128">
        <f t="shared" si="37"/>
        <v>0.4000000059604645</v>
      </c>
      <c r="AO115" s="111">
        <f aca="true" t="shared" si="47" ref="AO115:AU115">AO8+AO28+AO32+AO35+AO40+AO45+AO54+AO97+AO99+AO113+AO114</f>
        <v>-2798779</v>
      </c>
      <c r="AP115" s="111">
        <f t="shared" si="47"/>
        <v>-8400</v>
      </c>
      <c r="AQ115" s="111">
        <f t="shared" si="47"/>
        <v>0</v>
      </c>
      <c r="AR115" s="111">
        <f t="shared" si="47"/>
        <v>-300</v>
      </c>
      <c r="AS115" s="111">
        <f t="shared" si="47"/>
        <v>-997387</v>
      </c>
      <c r="AT115" s="111">
        <f t="shared" si="47"/>
        <v>-708490</v>
      </c>
      <c r="AU115" s="111">
        <f t="shared" si="47"/>
        <v>-4513356</v>
      </c>
      <c r="AV115" s="207" t="str">
        <f t="shared" si="39"/>
        <v>OK</v>
      </c>
      <c r="AW115" s="66">
        <f>SUM(AW9:AW114)</f>
        <v>-546664</v>
      </c>
    </row>
    <row r="116" spans="20:48" ht="13.5">
      <c r="T116" s="750"/>
      <c r="AV116" s="207"/>
    </row>
    <row r="117" spans="22:48" ht="14.25" thickBot="1">
      <c r="V117" s="146"/>
      <c r="AF117" s="25"/>
      <c r="AG117" s="25"/>
      <c r="AH117" s="25"/>
      <c r="AI117" s="25"/>
      <c r="AJ117" s="25"/>
      <c r="AK117" s="146"/>
      <c r="AV117" s="207"/>
    </row>
    <row r="118" spans="22:39" ht="14.25" hidden="1" thickBot="1">
      <c r="V118" s="146"/>
      <c r="W118" s="76" t="e">
        <f>#REF!+#REF!+#REF!+'11年増額から外したもの'!V6+#REF!+#REF!+#REF!+#REF!+#REF!+#REF!+#REF!+'11年増額から外したもの'!V12+#REF!+#REF!+#REF!+#REF!+#REF!+#REF!</f>
        <v>#REF!</v>
      </c>
      <c r="AD118" s="76" t="e">
        <f>#REF!+#REF!+#REF!+'11年増額から外したもの'!AC6+#REF!+#REF!+#REF!+#REF!+#REF!+#REF!+#REF!+'11年増額から外したもの'!AC12+#REF!+#REF!+#REF!+#REF!+#REF!+#REF!</f>
        <v>#REF!</v>
      </c>
      <c r="AE118" s="76" t="e">
        <f>#REF!+#REF!+#REF!+'11年増額から外したもの'!AD6+#REF!+#REF!+#REF!+#REF!+#REF!+#REF!+#REF!+'11年増額から外したもの'!AD12+#REF!+#REF!+#REF!+#REF!+#REF!+#REF!</f>
        <v>#REF!</v>
      </c>
      <c r="AF118" s="115"/>
      <c r="AG118" s="115"/>
      <c r="AH118" s="115"/>
      <c r="AI118" s="115"/>
      <c r="AJ118" s="115"/>
      <c r="AK118" s="146"/>
      <c r="AL118" s="114" t="e">
        <f>#REF!+#REF!+#REF!+#REF!+#REF!+AL58+AL99+#REF!+AL116+AL117</f>
        <v>#REF!</v>
      </c>
      <c r="AM118" s="76" t="e">
        <f>AD118-AE118-AF118-AG118-AH118</f>
        <v>#REF!</v>
      </c>
    </row>
    <row r="119" spans="2:37" ht="37.5" customHeight="1" thickBot="1">
      <c r="B119" s="860" t="s">
        <v>375</v>
      </c>
      <c r="C119" s="861"/>
      <c r="D119" s="861"/>
      <c r="E119" s="862"/>
      <c r="F119" s="31" t="e">
        <f>F114+'10年増額'!F57</f>
        <v>#VALUE!</v>
      </c>
      <c r="G119" s="376"/>
      <c r="H119" s="376"/>
      <c r="I119" s="376"/>
      <c r="J119" s="634"/>
      <c r="K119" s="635">
        <f>'11年増額'!K59+'11年減額'!K115</f>
        <v>324006361</v>
      </c>
      <c r="L119" s="375">
        <f>'11年増額'!L59+'11年減額'!L115</f>
        <v>0</v>
      </c>
      <c r="M119" s="376">
        <f>'11年増額'!M59+'11年減額'!M115</f>
        <v>0</v>
      </c>
      <c r="N119" s="376">
        <f>'11年増額'!N59+'11年減額'!N115</f>
        <v>0</v>
      </c>
      <c r="O119" s="376">
        <f>'11年増額'!O59+'11年減額'!O115</f>
        <v>0</v>
      </c>
      <c r="P119" s="31">
        <f>'11年増額'!P59+'11年減額'!P115</f>
        <v>-44791044</v>
      </c>
      <c r="Q119" s="369">
        <f>'11年増額'!Q59+'11年減額'!Q115</f>
        <v>-9806510</v>
      </c>
      <c r="R119" s="111">
        <f>'11年増額'!R59+'11年減額'!R115</f>
        <v>-3944834</v>
      </c>
      <c r="S119" s="111">
        <f>'11年増額'!S59+'11年減額'!S115</f>
        <v>-31039700</v>
      </c>
      <c r="T119" s="112">
        <f>'11年増額'!T59+'11年減額'!T115</f>
        <v>0</v>
      </c>
      <c r="U119" s="111">
        <f>U114+'10年増額'!U57</f>
        <v>0</v>
      </c>
      <c r="V119" s="112" t="e">
        <f>V114+'10年増額'!V57</f>
        <v>#VALUE!</v>
      </c>
      <c r="W119" s="114"/>
      <c r="X119" s="112"/>
      <c r="Y119" s="87"/>
      <c r="AA119" s="128" t="e">
        <f>K119-S119-T119-U119-V119</f>
        <v>#VALUE!</v>
      </c>
      <c r="AK119" s="66"/>
    </row>
    <row r="120" spans="22:39" ht="37.5" customHeight="1">
      <c r="V120" s="146"/>
      <c r="AF120" s="115"/>
      <c r="AG120" s="25"/>
      <c r="AH120" s="25"/>
      <c r="AI120" s="25"/>
      <c r="AJ120" s="25"/>
      <c r="AK120" s="146"/>
      <c r="AM120" s="76"/>
    </row>
    <row r="121" spans="22:39" ht="13.5" hidden="1">
      <c r="V121" s="146"/>
      <c r="W121" s="76" t="e">
        <f>W115-W118</f>
        <v>#REF!</v>
      </c>
      <c r="AD121" s="76" t="e">
        <f>AD115-AD118</f>
        <v>#REF!</v>
      </c>
      <c r="AE121" s="76" t="e">
        <f>AE115-AE118</f>
        <v>#REF!</v>
      </c>
      <c r="AF121" s="115"/>
      <c r="AG121" s="115"/>
      <c r="AH121" s="115"/>
      <c r="AI121" s="115"/>
      <c r="AJ121" s="115"/>
      <c r="AK121" s="146"/>
      <c r="AM121" s="76" t="e">
        <f>AD121-AE121-AF121-AG121-AH121</f>
        <v>#REF!</v>
      </c>
    </row>
    <row r="122" spans="22:37" ht="13.5">
      <c r="V122" s="146"/>
      <c r="AF122" s="25"/>
      <c r="AG122" s="25"/>
      <c r="AH122" s="25"/>
      <c r="AI122" s="25"/>
      <c r="AJ122" s="25"/>
      <c r="AK122" s="146"/>
    </row>
    <row r="123" spans="22:37" ht="13.5">
      <c r="V123" s="146"/>
      <c r="AF123" s="25"/>
      <c r="AG123" s="25"/>
      <c r="AH123" s="755"/>
      <c r="AI123" s="25"/>
      <c r="AJ123" s="25"/>
      <c r="AK123" s="146"/>
    </row>
    <row r="124" spans="22:37" ht="13.5">
      <c r="V124" s="146"/>
      <c r="AF124" s="25"/>
      <c r="AG124" s="25"/>
      <c r="AH124" s="62"/>
      <c r="AI124" s="25"/>
      <c r="AJ124" s="25"/>
      <c r="AK124" s="146"/>
    </row>
    <row r="125" spans="22:37" ht="13.5">
      <c r="V125" s="146"/>
      <c r="AF125" s="25"/>
      <c r="AG125" s="25"/>
      <c r="AH125" s="117"/>
      <c r="AI125" s="25"/>
      <c r="AJ125" s="25"/>
      <c r="AK125" s="146"/>
    </row>
    <row r="126" spans="22:37" ht="13.5">
      <c r="V126" s="146"/>
      <c r="AF126" s="854"/>
      <c r="AG126" s="854"/>
      <c r="AH126" s="117"/>
      <c r="AI126" s="25"/>
      <c r="AJ126" s="25"/>
      <c r="AK126" s="146"/>
    </row>
  </sheetData>
  <mergeCells count="8">
    <mergeCell ref="G5:J5"/>
    <mergeCell ref="Q5:T5"/>
    <mergeCell ref="L5:O5"/>
    <mergeCell ref="B119:E119"/>
    <mergeCell ref="X2:AE2"/>
    <mergeCell ref="AE5:AH5"/>
    <mergeCell ref="AF126:AG126"/>
    <mergeCell ref="Y5:AB5"/>
  </mergeCells>
  <printOptions/>
  <pageMargins left="0.5" right="0.1968503937007874" top="0.4330708661417323" bottom="0.4724409448818898" header="0.2362204724409449" footer="0.2362204724409449"/>
  <pageSetup horizontalDpi="600" verticalDpi="600" orientation="portrait" paperSize="9" r:id="rId1"/>
  <headerFooter alignWithMargins="0">
    <oddFooter>&amp;C&amp;P</oddFooter>
  </headerFooter>
  <rowBreaks count="3" manualBreakCount="3">
    <brk id="75" min="1" max="19" man="1"/>
    <brk id="91" min="1" max="19" man="1"/>
    <brk id="107" min="1" max="19" man="1"/>
  </rowBreaks>
</worksheet>
</file>

<file path=xl/worksheets/sheet6.xml><?xml version="1.0" encoding="utf-8"?>
<worksheet xmlns="http://schemas.openxmlformats.org/spreadsheetml/2006/main" xmlns:r="http://schemas.openxmlformats.org/officeDocument/2006/relationships">
  <dimension ref="A2:K79"/>
  <sheetViews>
    <sheetView view="pageBreakPreview" zoomScaleSheetLayoutView="100" workbookViewId="0" topLeftCell="A1">
      <selection activeCell="I2" sqref="I2:J3"/>
    </sheetView>
  </sheetViews>
  <sheetFormatPr defaultColWidth="9.00390625" defaultRowHeight="13.5"/>
  <cols>
    <col min="1" max="1" width="7.75390625" style="66" customWidth="1"/>
    <col min="2" max="2" width="8.625" style="66" customWidth="1"/>
    <col min="3" max="3" width="5.00390625" style="66" customWidth="1"/>
    <col min="4" max="4" width="7.375" style="66" customWidth="1"/>
    <col min="5" max="5" width="9.375" style="66" customWidth="1"/>
    <col min="6" max="6" width="10.875" style="66" customWidth="1"/>
    <col min="7" max="7" width="9.00390625" style="66" customWidth="1"/>
    <col min="8" max="8" width="9.25390625" style="66" customWidth="1"/>
    <col min="9" max="9" width="11.875" style="66" bestFit="1" customWidth="1"/>
    <col min="10" max="10" width="8.50390625" style="66" customWidth="1"/>
    <col min="11" max="16384" width="9.00390625" style="66" customWidth="1"/>
  </cols>
  <sheetData>
    <row r="1" ht="8.25" customHeight="1"/>
    <row r="2" spans="1:10" ht="24">
      <c r="A2" s="672" t="s">
        <v>364</v>
      </c>
      <c r="B2" s="71"/>
      <c r="C2" s="72"/>
      <c r="D2" s="29"/>
      <c r="E2" s="29"/>
      <c r="F2" s="29"/>
      <c r="G2" s="29"/>
      <c r="H2" s="29"/>
      <c r="I2" s="881" t="s">
        <v>245</v>
      </c>
      <c r="J2" s="881"/>
    </row>
    <row r="3" spans="1:10" ht="17.25">
      <c r="A3" s="673" t="s">
        <v>436</v>
      </c>
      <c r="B3" s="75"/>
      <c r="C3" s="73"/>
      <c r="F3" s="76"/>
      <c r="H3" s="76"/>
      <c r="I3" s="881"/>
      <c r="J3" s="881"/>
    </row>
    <row r="4" spans="2:10" ht="14.25" thickBot="1">
      <c r="B4" s="73"/>
      <c r="C4" s="73"/>
      <c r="E4" s="77" t="s">
        <v>123</v>
      </c>
      <c r="F4" s="78" t="s">
        <v>122</v>
      </c>
      <c r="H4" s="79"/>
      <c r="I4" s="81"/>
      <c r="J4" s="81"/>
    </row>
    <row r="5" spans="1:10" ht="24" customHeight="1">
      <c r="A5" s="869" t="s">
        <v>121</v>
      </c>
      <c r="B5" s="871" t="s">
        <v>361</v>
      </c>
      <c r="C5" s="863" t="s">
        <v>686</v>
      </c>
      <c r="D5" s="865" t="s">
        <v>687</v>
      </c>
      <c r="E5" s="873" t="s">
        <v>119</v>
      </c>
      <c r="F5" s="875" t="s">
        <v>118</v>
      </c>
      <c r="G5" s="867"/>
      <c r="H5" s="867"/>
      <c r="I5" s="867"/>
      <c r="J5" s="867"/>
    </row>
    <row r="6" spans="1:10" ht="14.25" thickBot="1">
      <c r="A6" s="870"/>
      <c r="B6" s="872"/>
      <c r="C6" s="864"/>
      <c r="D6" s="866"/>
      <c r="E6" s="874"/>
      <c r="F6" s="876"/>
      <c r="G6" s="674"/>
      <c r="H6" s="28"/>
      <c r="I6" s="28"/>
      <c r="J6" s="28"/>
    </row>
    <row r="7" spans="1:10" ht="42" customHeight="1">
      <c r="A7" s="675" t="s">
        <v>433</v>
      </c>
      <c r="B7" s="386" t="s">
        <v>434</v>
      </c>
      <c r="C7" s="676"/>
      <c r="D7" s="353"/>
      <c r="E7" s="786">
        <v>2202978</v>
      </c>
      <c r="F7" s="787">
        <f>'11年増減額一覧表'!O85</f>
        <v>-989779</v>
      </c>
      <c r="G7" s="678"/>
      <c r="H7" s="678"/>
      <c r="I7" s="678"/>
      <c r="J7" s="678"/>
    </row>
    <row r="8" spans="1:10" ht="36.75" thickBot="1">
      <c r="A8" s="679"/>
      <c r="B8" s="680" t="s">
        <v>362</v>
      </c>
      <c r="C8" s="387" t="s">
        <v>610</v>
      </c>
      <c r="D8" s="94"/>
      <c r="E8" s="788">
        <v>3000000</v>
      </c>
      <c r="F8" s="789">
        <v>-3000000</v>
      </c>
      <c r="G8" s="678"/>
      <c r="H8" s="678"/>
      <c r="I8" s="678"/>
      <c r="J8" s="678"/>
    </row>
    <row r="9" spans="1:10" ht="26.25" customHeight="1" thickBot="1">
      <c r="A9" s="683" t="s">
        <v>156</v>
      </c>
      <c r="B9" s="684"/>
      <c r="C9" s="684"/>
      <c r="D9" s="685"/>
      <c r="E9" s="790">
        <f>SUM(E7:E8)</f>
        <v>5202978</v>
      </c>
      <c r="F9" s="791">
        <f>SUM(F7:F8)</f>
        <v>-3989779</v>
      </c>
      <c r="G9" s="678"/>
      <c r="H9" s="678"/>
      <c r="I9" s="678"/>
      <c r="J9" s="678"/>
    </row>
    <row r="10" spans="1:10" ht="13.5">
      <c r="A10" s="109"/>
      <c r="B10" s="109"/>
      <c r="C10" s="109"/>
      <c r="D10" s="109"/>
      <c r="E10" s="109"/>
      <c r="F10" s="109"/>
      <c r="G10" s="109"/>
      <c r="H10" s="109"/>
      <c r="I10" s="109"/>
      <c r="J10" s="109"/>
    </row>
    <row r="11" spans="1:9" ht="18" customHeight="1">
      <c r="A11" s="673" t="s">
        <v>158</v>
      </c>
      <c r="B11" s="109"/>
      <c r="C11" s="65"/>
      <c r="D11" s="109"/>
      <c r="E11" s="109"/>
      <c r="F11" s="688"/>
      <c r="G11" s="109"/>
      <c r="H11" s="688"/>
      <c r="I11" s="689" t="s">
        <v>123</v>
      </c>
    </row>
    <row r="12" spans="1:10" ht="14.25" thickBot="1">
      <c r="A12" s="109"/>
      <c r="B12" s="109"/>
      <c r="C12" s="109"/>
      <c r="D12" s="109"/>
      <c r="E12" s="109"/>
      <c r="F12" s="109"/>
      <c r="G12" s="109"/>
      <c r="H12" s="109"/>
      <c r="I12" s="109"/>
      <c r="J12" s="109"/>
    </row>
    <row r="13" spans="1:10" ht="21.75" customHeight="1">
      <c r="A13" s="869" t="s">
        <v>121</v>
      </c>
      <c r="B13" s="871" t="s">
        <v>361</v>
      </c>
      <c r="C13" s="863" t="s">
        <v>435</v>
      </c>
      <c r="D13" s="865" t="s">
        <v>687</v>
      </c>
      <c r="E13" s="873" t="s">
        <v>119</v>
      </c>
      <c r="F13" s="877" t="s">
        <v>118</v>
      </c>
      <c r="G13" s="879" t="s">
        <v>117</v>
      </c>
      <c r="H13" s="852"/>
      <c r="I13" s="852"/>
      <c r="J13" s="853"/>
    </row>
    <row r="14" spans="1:10" ht="14.25" thickBot="1">
      <c r="A14" s="870"/>
      <c r="B14" s="872"/>
      <c r="C14" s="864"/>
      <c r="D14" s="866"/>
      <c r="E14" s="874"/>
      <c r="F14" s="878"/>
      <c r="G14" s="200" t="s">
        <v>115</v>
      </c>
      <c r="H14" s="201" t="s">
        <v>114</v>
      </c>
      <c r="I14" s="201" t="s">
        <v>113</v>
      </c>
      <c r="J14" s="202" t="s">
        <v>112</v>
      </c>
    </row>
    <row r="15" spans="1:10" ht="45" customHeight="1">
      <c r="A15" s="675" t="s">
        <v>437</v>
      </c>
      <c r="B15" s="386" t="s">
        <v>609</v>
      </c>
      <c r="C15" s="387" t="s">
        <v>363</v>
      </c>
      <c r="D15" s="353"/>
      <c r="E15" s="786">
        <v>3000000</v>
      </c>
      <c r="F15" s="792">
        <v>-3000000</v>
      </c>
      <c r="G15" s="793"/>
      <c r="H15" s="794"/>
      <c r="I15" s="794">
        <v>-3000000</v>
      </c>
      <c r="J15" s="795"/>
    </row>
    <row r="16" spans="1:10" ht="37.5" customHeight="1" thickBot="1">
      <c r="A16" s="679"/>
      <c r="B16" s="690" t="s">
        <v>611</v>
      </c>
      <c r="C16" s="387" t="s">
        <v>612</v>
      </c>
      <c r="D16" s="94"/>
      <c r="E16" s="788">
        <v>2202978</v>
      </c>
      <c r="F16" s="796">
        <f>'11年増減額一覧表'!O85</f>
        <v>-989779</v>
      </c>
      <c r="G16" s="797"/>
      <c r="H16" s="798">
        <f>F16</f>
        <v>-989779</v>
      </c>
      <c r="I16" s="798"/>
      <c r="J16" s="799"/>
    </row>
    <row r="17" spans="1:10" ht="24.75" customHeight="1" thickBot="1">
      <c r="A17" s="683" t="s">
        <v>156</v>
      </c>
      <c r="B17" s="684"/>
      <c r="C17" s="684"/>
      <c r="D17" s="695"/>
      <c r="E17" s="790">
        <f aca="true" t="shared" si="0" ref="E17:J17">SUM(E15:E16)</f>
        <v>5202978</v>
      </c>
      <c r="F17" s="800">
        <f t="shared" si="0"/>
        <v>-3989779</v>
      </c>
      <c r="G17" s="801">
        <f t="shared" si="0"/>
        <v>0</v>
      </c>
      <c r="H17" s="802">
        <f t="shared" si="0"/>
        <v>-989779</v>
      </c>
      <c r="I17" s="802">
        <f t="shared" si="0"/>
        <v>-3000000</v>
      </c>
      <c r="J17" s="803">
        <f t="shared" si="0"/>
        <v>0</v>
      </c>
    </row>
    <row r="18" spans="1:10" ht="13.5">
      <c r="A18" s="700"/>
      <c r="B18" s="700"/>
      <c r="C18" s="700"/>
      <c r="D18" s="700"/>
      <c r="E18" s="678"/>
      <c r="F18" s="678"/>
      <c r="G18" s="678"/>
      <c r="H18" s="678"/>
      <c r="I18" s="678"/>
      <c r="J18" s="678"/>
    </row>
    <row r="20" spans="1:11" ht="24">
      <c r="A20" s="672" t="s">
        <v>365</v>
      </c>
      <c r="B20" s="71"/>
      <c r="C20" s="72"/>
      <c r="D20" s="29"/>
      <c r="E20" s="29"/>
      <c r="F20" s="29"/>
      <c r="G20" s="29"/>
      <c r="H20" s="29"/>
      <c r="I20" s="29"/>
      <c r="J20" s="29"/>
      <c r="K20" s="25"/>
    </row>
    <row r="21" spans="1:11" ht="17.25">
      <c r="A21" s="673" t="s">
        <v>436</v>
      </c>
      <c r="B21" s="75"/>
      <c r="C21" s="73"/>
      <c r="F21" s="76"/>
      <c r="H21" s="76"/>
      <c r="I21" s="76"/>
      <c r="K21" s="25"/>
    </row>
    <row r="22" spans="2:11" ht="14.25" thickBot="1">
      <c r="B22" s="73"/>
      <c r="C22" s="73"/>
      <c r="E22" s="77" t="s">
        <v>123</v>
      </c>
      <c r="F22" s="78" t="s">
        <v>122</v>
      </c>
      <c r="H22" s="79"/>
      <c r="I22" s="81"/>
      <c r="J22" s="81"/>
      <c r="K22" s="25"/>
    </row>
    <row r="23" spans="1:11" ht="13.5">
      <c r="A23" s="869" t="s">
        <v>121</v>
      </c>
      <c r="B23" s="871" t="s">
        <v>361</v>
      </c>
      <c r="C23" s="863" t="s">
        <v>686</v>
      </c>
      <c r="D23" s="865" t="s">
        <v>687</v>
      </c>
      <c r="E23" s="873" t="s">
        <v>119</v>
      </c>
      <c r="F23" s="875" t="s">
        <v>118</v>
      </c>
      <c r="G23" s="867"/>
      <c r="H23" s="867"/>
      <c r="I23" s="867"/>
      <c r="J23" s="867"/>
      <c r="K23" s="25"/>
    </row>
    <row r="24" spans="1:11" ht="14.25" thickBot="1">
      <c r="A24" s="870"/>
      <c r="B24" s="872"/>
      <c r="C24" s="864"/>
      <c r="D24" s="866"/>
      <c r="E24" s="874"/>
      <c r="F24" s="876"/>
      <c r="G24" s="674"/>
      <c r="H24" s="28"/>
      <c r="I24" s="28"/>
      <c r="J24" s="28"/>
      <c r="K24" s="25"/>
    </row>
    <row r="25" spans="1:11" ht="45" customHeight="1">
      <c r="A25" s="675" t="s">
        <v>166</v>
      </c>
      <c r="B25" s="386" t="s">
        <v>434</v>
      </c>
      <c r="C25" s="676"/>
      <c r="D25" s="785" t="s">
        <v>805</v>
      </c>
      <c r="E25" s="786">
        <v>1490131</v>
      </c>
      <c r="F25" s="787">
        <f>'11年増減額一覧表'!O27</f>
        <v>-745065</v>
      </c>
      <c r="G25" s="678"/>
      <c r="H25" s="678"/>
      <c r="I25" s="678"/>
      <c r="J25" s="678"/>
      <c r="K25" s="25"/>
    </row>
    <row r="26" spans="1:11" ht="14.25" customHeight="1">
      <c r="A26" s="701"/>
      <c r="B26" s="702"/>
      <c r="C26" s="703"/>
      <c r="D26" s="704"/>
      <c r="E26" s="804"/>
      <c r="F26" s="805"/>
      <c r="G26" s="678"/>
      <c r="H26" s="678"/>
      <c r="I26" s="678"/>
      <c r="J26" s="678"/>
      <c r="K26" s="25"/>
    </row>
    <row r="27" spans="1:11" ht="14.25" customHeight="1" thickBot="1">
      <c r="A27" s="679"/>
      <c r="B27" s="680"/>
      <c r="C27" s="387"/>
      <c r="D27" s="94"/>
      <c r="E27" s="788"/>
      <c r="F27" s="789"/>
      <c r="G27" s="678"/>
      <c r="H27" s="678"/>
      <c r="I27" s="678"/>
      <c r="J27" s="678"/>
      <c r="K27" s="25"/>
    </row>
    <row r="28" spans="1:11" ht="23.25" customHeight="1" thickBot="1">
      <c r="A28" s="683" t="s">
        <v>156</v>
      </c>
      <c r="B28" s="684"/>
      <c r="C28" s="684"/>
      <c r="D28" s="685"/>
      <c r="E28" s="790">
        <f>SUM(E25:E27)</f>
        <v>1490131</v>
      </c>
      <c r="F28" s="791">
        <f>SUM(F25:F27)</f>
        <v>-745065</v>
      </c>
      <c r="G28" s="678"/>
      <c r="H28" s="678"/>
      <c r="I28" s="678"/>
      <c r="J28" s="678"/>
      <c r="K28" s="25"/>
    </row>
    <row r="29" spans="1:11" ht="13.5">
      <c r="A29" s="109"/>
      <c r="B29" s="109"/>
      <c r="C29" s="109"/>
      <c r="D29" s="109"/>
      <c r="E29" s="109"/>
      <c r="F29" s="109"/>
      <c r="G29" s="109"/>
      <c r="H29" s="109"/>
      <c r="I29" s="109"/>
      <c r="J29" s="109"/>
      <c r="K29" s="25"/>
    </row>
    <row r="30" spans="1:11" ht="13.5">
      <c r="A30" s="707" t="s">
        <v>158</v>
      </c>
      <c r="B30" s="109"/>
      <c r="C30" s="65"/>
      <c r="D30" s="109"/>
      <c r="E30" s="109"/>
      <c r="F30" s="688"/>
      <c r="G30" s="109"/>
      <c r="H30" s="688"/>
      <c r="I30" s="689" t="s">
        <v>123</v>
      </c>
      <c r="K30" s="25"/>
    </row>
    <row r="31" spans="1:11" ht="14.25" thickBot="1">
      <c r="A31" s="109"/>
      <c r="B31" s="109"/>
      <c r="C31" s="109"/>
      <c r="D31" s="109"/>
      <c r="E31" s="109"/>
      <c r="F31" s="109"/>
      <c r="G31" s="109"/>
      <c r="H31" s="109"/>
      <c r="I31" s="109"/>
      <c r="J31" s="109"/>
      <c r="K31" s="25"/>
    </row>
    <row r="32" spans="1:11" ht="13.5">
      <c r="A32" s="869" t="s">
        <v>121</v>
      </c>
      <c r="B32" s="871" t="s">
        <v>361</v>
      </c>
      <c r="C32" s="863" t="s">
        <v>435</v>
      </c>
      <c r="D32" s="865" t="s">
        <v>687</v>
      </c>
      <c r="E32" s="873" t="s">
        <v>119</v>
      </c>
      <c r="F32" s="877" t="s">
        <v>118</v>
      </c>
      <c r="G32" s="879" t="s">
        <v>117</v>
      </c>
      <c r="H32" s="852"/>
      <c r="I32" s="852"/>
      <c r="J32" s="853"/>
      <c r="K32" s="25"/>
    </row>
    <row r="33" spans="1:11" ht="14.25" thickBot="1">
      <c r="A33" s="870"/>
      <c r="B33" s="872"/>
      <c r="C33" s="864"/>
      <c r="D33" s="866"/>
      <c r="E33" s="874"/>
      <c r="F33" s="878"/>
      <c r="G33" s="200" t="s">
        <v>115</v>
      </c>
      <c r="H33" s="201" t="s">
        <v>114</v>
      </c>
      <c r="I33" s="201" t="s">
        <v>113</v>
      </c>
      <c r="J33" s="202" t="s">
        <v>112</v>
      </c>
      <c r="K33" s="25"/>
    </row>
    <row r="34" spans="1:11" ht="45" customHeight="1">
      <c r="A34" s="675" t="s">
        <v>167</v>
      </c>
      <c r="B34" s="386" t="s">
        <v>168</v>
      </c>
      <c r="C34" s="387" t="s">
        <v>789</v>
      </c>
      <c r="D34" s="353"/>
      <c r="E34" s="786">
        <v>1490131</v>
      </c>
      <c r="F34" s="792">
        <f>'11年増減額一覧表'!O27</f>
        <v>-745065</v>
      </c>
      <c r="G34" s="793"/>
      <c r="H34" s="794">
        <f>F34</f>
        <v>-745065</v>
      </c>
      <c r="I34" s="794"/>
      <c r="J34" s="795"/>
      <c r="K34" s="25"/>
    </row>
    <row r="35" spans="1:11" ht="12" customHeight="1">
      <c r="A35" s="701"/>
      <c r="B35" s="703"/>
      <c r="C35" s="708"/>
      <c r="D35" s="704"/>
      <c r="E35" s="804"/>
      <c r="F35" s="806"/>
      <c r="G35" s="807"/>
      <c r="H35" s="808"/>
      <c r="I35" s="808"/>
      <c r="J35" s="809"/>
      <c r="K35" s="25"/>
    </row>
    <row r="36" spans="1:11" ht="12" customHeight="1" thickBot="1">
      <c r="A36" s="679"/>
      <c r="B36" s="690"/>
      <c r="C36" s="690"/>
      <c r="D36" s="94"/>
      <c r="E36" s="788"/>
      <c r="F36" s="796"/>
      <c r="G36" s="797"/>
      <c r="H36" s="798"/>
      <c r="I36" s="798"/>
      <c r="J36" s="799"/>
      <c r="K36" s="25"/>
    </row>
    <row r="37" spans="1:11" ht="23.25" customHeight="1" thickBot="1">
      <c r="A37" s="683" t="s">
        <v>156</v>
      </c>
      <c r="B37" s="684"/>
      <c r="C37" s="684"/>
      <c r="D37" s="695"/>
      <c r="E37" s="790">
        <f>SUM(E34:E36)</f>
        <v>1490131</v>
      </c>
      <c r="F37" s="800">
        <f>SUM(F34:F36)</f>
        <v>-745065</v>
      </c>
      <c r="G37" s="801"/>
      <c r="H37" s="802">
        <f>SUM(H34:H36)</f>
        <v>-745065</v>
      </c>
      <c r="I37" s="802"/>
      <c r="J37" s="803"/>
      <c r="K37" s="25"/>
    </row>
    <row r="38" spans="1:11" ht="11.25" customHeight="1">
      <c r="A38" s="700"/>
      <c r="B38" s="700"/>
      <c r="C38" s="700"/>
      <c r="D38" s="700"/>
      <c r="E38" s="700"/>
      <c r="F38" s="700"/>
      <c r="G38" s="700"/>
      <c r="H38" s="700"/>
      <c r="I38" s="700"/>
      <c r="J38" s="700"/>
      <c r="K38" s="25"/>
    </row>
    <row r="39" spans="1:11" ht="6.75" customHeight="1">
      <c r="A39" s="713"/>
      <c r="B39" s="700"/>
      <c r="C39" s="700"/>
      <c r="D39" s="700"/>
      <c r="E39" s="700"/>
      <c r="F39" s="700"/>
      <c r="G39" s="700"/>
      <c r="H39" s="700"/>
      <c r="I39" s="700"/>
      <c r="J39" s="700"/>
      <c r="K39" s="25"/>
    </row>
    <row r="40" spans="1:11" ht="21.75" customHeight="1">
      <c r="A40" s="672" t="s">
        <v>366</v>
      </c>
      <c r="B40" s="71"/>
      <c r="C40" s="72"/>
      <c r="D40" s="29"/>
      <c r="E40" s="29"/>
      <c r="F40" s="29"/>
      <c r="G40" s="29"/>
      <c r="H40" s="29"/>
      <c r="I40" s="29"/>
      <c r="J40" s="29"/>
      <c r="K40" s="25"/>
    </row>
    <row r="41" spans="1:11" ht="17.25">
      <c r="A41" s="673" t="s">
        <v>436</v>
      </c>
      <c r="B41" s="75"/>
      <c r="C41" s="73"/>
      <c r="F41" s="76"/>
      <c r="H41" s="76"/>
      <c r="I41" s="76"/>
      <c r="K41" s="25"/>
    </row>
    <row r="42" spans="2:11" ht="14.25" thickBot="1">
      <c r="B42" s="73"/>
      <c r="C42" s="73"/>
      <c r="E42" s="77" t="s">
        <v>123</v>
      </c>
      <c r="F42" s="78" t="s">
        <v>122</v>
      </c>
      <c r="H42" s="79"/>
      <c r="I42" s="81"/>
      <c r="J42" s="81"/>
      <c r="K42" s="25"/>
    </row>
    <row r="43" spans="1:11" ht="13.5">
      <c r="A43" s="869" t="s">
        <v>121</v>
      </c>
      <c r="B43" s="871" t="s">
        <v>361</v>
      </c>
      <c r="C43" s="863" t="s">
        <v>686</v>
      </c>
      <c r="D43" s="865" t="s">
        <v>687</v>
      </c>
      <c r="E43" s="873" t="s">
        <v>119</v>
      </c>
      <c r="F43" s="875" t="s">
        <v>118</v>
      </c>
      <c r="G43" s="867"/>
      <c r="H43" s="867"/>
      <c r="I43" s="867"/>
      <c r="J43" s="867"/>
      <c r="K43" s="25"/>
    </row>
    <row r="44" spans="1:11" ht="14.25" thickBot="1">
      <c r="A44" s="870"/>
      <c r="B44" s="872"/>
      <c r="C44" s="864"/>
      <c r="D44" s="866"/>
      <c r="E44" s="874"/>
      <c r="F44" s="876"/>
      <c r="G44" s="674"/>
      <c r="H44" s="28"/>
      <c r="I44" s="28"/>
      <c r="J44" s="28"/>
      <c r="K44" s="25"/>
    </row>
    <row r="45" spans="1:11" ht="45" customHeight="1">
      <c r="A45" s="675" t="s">
        <v>815</v>
      </c>
      <c r="B45" s="386"/>
      <c r="C45" s="714"/>
      <c r="D45" s="785" t="s">
        <v>719</v>
      </c>
      <c r="E45" s="786">
        <v>2202978</v>
      </c>
      <c r="F45" s="787">
        <f>'11年増減額一覧表'!O85</f>
        <v>-989779</v>
      </c>
      <c r="G45" s="678"/>
      <c r="H45" s="678"/>
      <c r="I45" s="678"/>
      <c r="J45" s="678"/>
      <c r="K45" s="25"/>
    </row>
    <row r="46" spans="1:11" ht="14.25" thickBot="1">
      <c r="A46" s="679"/>
      <c r="B46" s="680"/>
      <c r="C46" s="387"/>
      <c r="D46" s="94"/>
      <c r="E46" s="788"/>
      <c r="F46" s="789"/>
      <c r="G46" s="678"/>
      <c r="H46" s="678"/>
      <c r="I46" s="678"/>
      <c r="J46" s="678"/>
      <c r="K46" s="25"/>
    </row>
    <row r="47" spans="1:11" ht="26.25" customHeight="1" thickBot="1">
      <c r="A47" s="683" t="s">
        <v>156</v>
      </c>
      <c r="B47" s="684"/>
      <c r="C47" s="684"/>
      <c r="D47" s="685"/>
      <c r="E47" s="790">
        <f>SUM(E45:E46)</f>
        <v>2202978</v>
      </c>
      <c r="F47" s="791">
        <f>SUM(F45:F46)</f>
        <v>-989779</v>
      </c>
      <c r="G47" s="678"/>
      <c r="H47" s="678"/>
      <c r="I47" s="678"/>
      <c r="J47" s="678"/>
      <c r="K47" s="25"/>
    </row>
    <row r="48" spans="1:11" ht="13.5">
      <c r="A48" s="109"/>
      <c r="B48" s="109"/>
      <c r="C48" s="109"/>
      <c r="D48" s="109"/>
      <c r="E48" s="109"/>
      <c r="F48" s="109"/>
      <c r="G48" s="109"/>
      <c r="H48" s="109"/>
      <c r="I48" s="109"/>
      <c r="J48" s="109"/>
      <c r="K48" s="25"/>
    </row>
    <row r="49" spans="1:11" ht="18.75" customHeight="1">
      <c r="A49" s="673" t="s">
        <v>158</v>
      </c>
      <c r="B49" s="109"/>
      <c r="C49" s="65"/>
      <c r="D49" s="109"/>
      <c r="E49" s="109"/>
      <c r="F49" s="688"/>
      <c r="G49" s="109"/>
      <c r="H49" s="688"/>
      <c r="I49" s="689" t="s">
        <v>123</v>
      </c>
      <c r="K49" s="25"/>
    </row>
    <row r="50" spans="1:11" ht="14.25" thickBot="1">
      <c r="A50" s="109"/>
      <c r="B50" s="109"/>
      <c r="C50" s="109"/>
      <c r="D50" s="109"/>
      <c r="E50" s="109"/>
      <c r="F50" s="109"/>
      <c r="G50" s="109"/>
      <c r="H50" s="109"/>
      <c r="I50" s="109"/>
      <c r="J50" s="109"/>
      <c r="K50" s="25"/>
    </row>
    <row r="51" spans="1:11" ht="13.5">
      <c r="A51" s="869" t="s">
        <v>121</v>
      </c>
      <c r="B51" s="871" t="s">
        <v>361</v>
      </c>
      <c r="C51" s="863" t="s">
        <v>435</v>
      </c>
      <c r="D51" s="865" t="s">
        <v>687</v>
      </c>
      <c r="E51" s="873" t="s">
        <v>119</v>
      </c>
      <c r="F51" s="877" t="s">
        <v>118</v>
      </c>
      <c r="G51" s="879" t="s">
        <v>117</v>
      </c>
      <c r="H51" s="852"/>
      <c r="I51" s="852"/>
      <c r="J51" s="853"/>
      <c r="K51" s="25"/>
    </row>
    <row r="52" spans="1:11" ht="14.25" thickBot="1">
      <c r="A52" s="870"/>
      <c r="B52" s="872"/>
      <c r="C52" s="864"/>
      <c r="D52" s="866"/>
      <c r="E52" s="874"/>
      <c r="F52" s="878"/>
      <c r="G52" s="200" t="s">
        <v>115</v>
      </c>
      <c r="H52" s="201" t="s">
        <v>114</v>
      </c>
      <c r="I52" s="201" t="s">
        <v>113</v>
      </c>
      <c r="J52" s="202" t="s">
        <v>112</v>
      </c>
      <c r="K52" s="25"/>
    </row>
    <row r="53" spans="1:11" ht="45" customHeight="1">
      <c r="A53" s="675" t="s">
        <v>816</v>
      </c>
      <c r="B53" s="386" t="s">
        <v>611</v>
      </c>
      <c r="C53" s="387"/>
      <c r="D53" s="353"/>
      <c r="E53" s="786">
        <v>550001911</v>
      </c>
      <c r="F53" s="792">
        <f>'11年増減額一覧表'!O85</f>
        <v>-989779</v>
      </c>
      <c r="G53" s="793"/>
      <c r="H53" s="794">
        <f>F53</f>
        <v>-989779</v>
      </c>
      <c r="I53" s="794"/>
      <c r="J53" s="795"/>
      <c r="K53" s="25"/>
    </row>
    <row r="54" spans="1:11" ht="14.25" thickBot="1">
      <c r="A54" s="679"/>
      <c r="B54" s="690"/>
      <c r="C54" s="387"/>
      <c r="D54" s="94"/>
      <c r="E54" s="788"/>
      <c r="F54" s="796"/>
      <c r="G54" s="797"/>
      <c r="H54" s="798"/>
      <c r="I54" s="798"/>
      <c r="J54" s="799"/>
      <c r="K54" s="25"/>
    </row>
    <row r="55" spans="1:11" ht="26.25" customHeight="1" thickBot="1">
      <c r="A55" s="683" t="s">
        <v>156</v>
      </c>
      <c r="B55" s="684"/>
      <c r="C55" s="684"/>
      <c r="D55" s="695"/>
      <c r="E55" s="790">
        <f aca="true" t="shared" si="1" ref="E55:J55">SUM(E53:E54)</f>
        <v>550001911</v>
      </c>
      <c r="F55" s="800">
        <f t="shared" si="1"/>
        <v>-989779</v>
      </c>
      <c r="G55" s="801">
        <f t="shared" si="1"/>
        <v>0</v>
      </c>
      <c r="H55" s="802">
        <f t="shared" si="1"/>
        <v>-989779</v>
      </c>
      <c r="I55" s="802">
        <f t="shared" si="1"/>
        <v>0</v>
      </c>
      <c r="J55" s="803">
        <f t="shared" si="1"/>
        <v>0</v>
      </c>
      <c r="K55" s="25"/>
    </row>
    <row r="56" spans="1:11" ht="13.5">
      <c r="A56" s="700"/>
      <c r="B56" s="700"/>
      <c r="C56" s="700"/>
      <c r="D56" s="700"/>
      <c r="E56" s="678"/>
      <c r="F56" s="678"/>
      <c r="G56" s="678"/>
      <c r="H56" s="678"/>
      <c r="I56" s="678"/>
      <c r="J56" s="678"/>
      <c r="K56" s="25"/>
    </row>
    <row r="57" spans="1:11" ht="13.5">
      <c r="A57" s="700"/>
      <c r="B57" s="700"/>
      <c r="C57" s="700"/>
      <c r="D57" s="700"/>
      <c r="E57" s="700"/>
      <c r="F57" s="700"/>
      <c r="G57" s="700"/>
      <c r="H57" s="700"/>
      <c r="I57" s="700"/>
      <c r="J57" s="700"/>
      <c r="K57" s="25"/>
    </row>
    <row r="58" spans="1:11" ht="13.5">
      <c r="A58" s="700"/>
      <c r="B58" s="700"/>
      <c r="C58" s="700"/>
      <c r="D58" s="700"/>
      <c r="E58" s="700"/>
      <c r="F58" s="700"/>
      <c r="G58" s="700"/>
      <c r="H58" s="700"/>
      <c r="I58" s="700"/>
      <c r="J58" s="700"/>
      <c r="K58" s="25"/>
    </row>
    <row r="59" spans="1:11" ht="17.25">
      <c r="A59" s="713"/>
      <c r="B59" s="700"/>
      <c r="C59" s="700"/>
      <c r="D59" s="700"/>
      <c r="E59" s="700"/>
      <c r="F59" s="700"/>
      <c r="G59" s="700"/>
      <c r="H59" s="700"/>
      <c r="I59" s="700"/>
      <c r="J59" s="700"/>
      <c r="K59" s="25"/>
    </row>
    <row r="60" spans="1:11" ht="13.5">
      <c r="A60" s="715"/>
      <c r="B60" s="700"/>
      <c r="C60" s="716"/>
      <c r="D60" s="700"/>
      <c r="E60" s="700"/>
      <c r="F60" s="678"/>
      <c r="G60" s="700"/>
      <c r="H60" s="678"/>
      <c r="I60" s="678"/>
      <c r="J60" s="25"/>
      <c r="K60" s="25"/>
    </row>
    <row r="61" spans="1:11" ht="13.5">
      <c r="A61" s="700"/>
      <c r="B61" s="716"/>
      <c r="C61" s="716"/>
      <c r="D61" s="700"/>
      <c r="E61" s="717"/>
      <c r="F61" s="718"/>
      <c r="G61" s="700"/>
      <c r="H61" s="719"/>
      <c r="I61" s="720"/>
      <c r="J61" s="720"/>
      <c r="K61" s="25"/>
    </row>
    <row r="62" spans="1:11" ht="13.5">
      <c r="A62" s="867"/>
      <c r="B62" s="868"/>
      <c r="C62" s="867"/>
      <c r="D62" s="868"/>
      <c r="E62" s="868"/>
      <c r="F62" s="880"/>
      <c r="G62" s="867"/>
      <c r="H62" s="867"/>
      <c r="I62" s="867"/>
      <c r="J62" s="867"/>
      <c r="K62" s="25"/>
    </row>
    <row r="63" spans="1:11" ht="13.5">
      <c r="A63" s="867"/>
      <c r="B63" s="868"/>
      <c r="C63" s="867"/>
      <c r="D63" s="868"/>
      <c r="E63" s="868"/>
      <c r="F63" s="880"/>
      <c r="G63" s="674"/>
      <c r="H63" s="28"/>
      <c r="I63" s="28"/>
      <c r="J63" s="28"/>
      <c r="K63" s="25"/>
    </row>
    <row r="64" spans="1:11" ht="13.5">
      <c r="A64" s="148"/>
      <c r="B64" s="148"/>
      <c r="C64" s="148"/>
      <c r="D64" s="148"/>
      <c r="E64" s="678"/>
      <c r="F64" s="678"/>
      <c r="G64" s="678"/>
      <c r="H64" s="678"/>
      <c r="I64" s="678"/>
      <c r="J64" s="678"/>
      <c r="K64" s="25"/>
    </row>
    <row r="65" spans="1:11" ht="13.5">
      <c r="A65" s="700"/>
      <c r="B65" s="700"/>
      <c r="C65" s="700"/>
      <c r="D65" s="700"/>
      <c r="E65" s="678"/>
      <c r="F65" s="678"/>
      <c r="G65" s="678"/>
      <c r="H65" s="678"/>
      <c r="I65" s="678"/>
      <c r="J65" s="678"/>
      <c r="K65" s="25"/>
    </row>
    <row r="66" spans="1:11" ht="13.5">
      <c r="A66" s="700"/>
      <c r="B66" s="700"/>
      <c r="C66" s="700"/>
      <c r="D66" s="700"/>
      <c r="E66" s="678"/>
      <c r="F66" s="678"/>
      <c r="G66" s="678"/>
      <c r="H66" s="678"/>
      <c r="I66" s="678"/>
      <c r="J66" s="678"/>
      <c r="K66" s="25"/>
    </row>
    <row r="67" spans="1:11" ht="13.5">
      <c r="A67" s="700"/>
      <c r="B67" s="700"/>
      <c r="C67" s="700"/>
      <c r="D67" s="700"/>
      <c r="E67" s="678"/>
      <c r="F67" s="678"/>
      <c r="G67" s="678"/>
      <c r="H67" s="678"/>
      <c r="I67" s="678"/>
      <c r="J67" s="678"/>
      <c r="K67" s="25"/>
    </row>
    <row r="68" spans="1:11" ht="13.5">
      <c r="A68" s="700"/>
      <c r="B68" s="700"/>
      <c r="C68" s="700"/>
      <c r="D68" s="700"/>
      <c r="E68" s="700"/>
      <c r="F68" s="700"/>
      <c r="G68" s="700"/>
      <c r="H68" s="700"/>
      <c r="I68" s="700"/>
      <c r="J68" s="700"/>
      <c r="K68" s="25"/>
    </row>
    <row r="69" spans="1:11" ht="13.5">
      <c r="A69" s="715"/>
      <c r="B69" s="700"/>
      <c r="C69" s="716"/>
      <c r="D69" s="700"/>
      <c r="E69" s="700"/>
      <c r="F69" s="678"/>
      <c r="G69" s="700"/>
      <c r="H69" s="678"/>
      <c r="I69" s="678"/>
      <c r="J69" s="717"/>
      <c r="K69" s="25"/>
    </row>
    <row r="70" spans="1:11" ht="13.5">
      <c r="A70" s="700"/>
      <c r="B70" s="700"/>
      <c r="C70" s="700"/>
      <c r="D70" s="700"/>
      <c r="E70" s="700"/>
      <c r="F70" s="700"/>
      <c r="G70" s="700"/>
      <c r="H70" s="700"/>
      <c r="I70" s="700"/>
      <c r="J70" s="700"/>
      <c r="K70" s="25"/>
    </row>
    <row r="71" spans="1:11" ht="13.5">
      <c r="A71" s="867"/>
      <c r="B71" s="868"/>
      <c r="C71" s="867"/>
      <c r="D71" s="868"/>
      <c r="E71" s="868"/>
      <c r="F71" s="880"/>
      <c r="G71" s="867"/>
      <c r="H71" s="867"/>
      <c r="I71" s="867"/>
      <c r="J71" s="867"/>
      <c r="K71" s="25"/>
    </row>
    <row r="72" spans="1:11" ht="13.5">
      <c r="A72" s="867"/>
      <c r="B72" s="868"/>
      <c r="C72" s="867"/>
      <c r="D72" s="868"/>
      <c r="E72" s="868"/>
      <c r="F72" s="880"/>
      <c r="G72" s="674"/>
      <c r="H72" s="28"/>
      <c r="I72" s="28"/>
      <c r="J72" s="28"/>
      <c r="K72" s="25"/>
    </row>
    <row r="73" spans="1:11" ht="13.5">
      <c r="A73" s="148"/>
      <c r="B73" s="148"/>
      <c r="C73" s="148"/>
      <c r="D73" s="148"/>
      <c r="E73" s="678"/>
      <c r="F73" s="678"/>
      <c r="G73" s="678"/>
      <c r="H73" s="678"/>
      <c r="I73" s="678"/>
      <c r="J73" s="678"/>
      <c r="K73" s="25"/>
    </row>
    <row r="74" spans="1:11" ht="13.5">
      <c r="A74" s="700"/>
      <c r="B74" s="148"/>
      <c r="C74" s="700"/>
      <c r="D74" s="148"/>
      <c r="E74" s="678"/>
      <c r="F74" s="678"/>
      <c r="G74" s="678"/>
      <c r="H74" s="678"/>
      <c r="I74" s="678"/>
      <c r="J74" s="678"/>
      <c r="K74" s="25"/>
    </row>
    <row r="75" spans="1:11" ht="13.5">
      <c r="A75" s="700"/>
      <c r="B75" s="148"/>
      <c r="C75" s="700"/>
      <c r="D75" s="700"/>
      <c r="E75" s="678"/>
      <c r="F75" s="678"/>
      <c r="G75" s="678"/>
      <c r="H75" s="678"/>
      <c r="I75" s="678"/>
      <c r="J75" s="678"/>
      <c r="K75" s="25"/>
    </row>
    <row r="76" spans="1:11" ht="13.5">
      <c r="A76" s="700"/>
      <c r="B76" s="700"/>
      <c r="C76" s="700"/>
      <c r="D76" s="700"/>
      <c r="E76" s="678"/>
      <c r="F76" s="678"/>
      <c r="G76" s="678"/>
      <c r="H76" s="678"/>
      <c r="I76" s="678"/>
      <c r="J76" s="678"/>
      <c r="K76" s="25"/>
    </row>
    <row r="77" spans="1:11" ht="13.5">
      <c r="A77" s="25"/>
      <c r="B77" s="25"/>
      <c r="C77" s="25"/>
      <c r="D77" s="25"/>
      <c r="E77" s="25"/>
      <c r="F77" s="25"/>
      <c r="G77" s="25"/>
      <c r="H77" s="25"/>
      <c r="I77" s="25"/>
      <c r="J77" s="25"/>
      <c r="K77" s="25"/>
    </row>
    <row r="78" spans="1:11" ht="13.5">
      <c r="A78" s="25"/>
      <c r="B78" s="25"/>
      <c r="C78" s="25"/>
      <c r="D78" s="25"/>
      <c r="E78" s="25"/>
      <c r="F78" s="25"/>
      <c r="G78" s="25"/>
      <c r="H78" s="25"/>
      <c r="I78" s="25"/>
      <c r="J78" s="25"/>
      <c r="K78" s="25"/>
    </row>
    <row r="79" spans="1:11" ht="13.5">
      <c r="A79" s="25"/>
      <c r="B79" s="25"/>
      <c r="C79" s="25"/>
      <c r="D79" s="25"/>
      <c r="E79" s="25"/>
      <c r="F79" s="25"/>
      <c r="G79" s="25"/>
      <c r="H79" s="25"/>
      <c r="I79" s="25"/>
      <c r="J79" s="25"/>
      <c r="K79" s="25"/>
    </row>
  </sheetData>
  <mergeCells count="57">
    <mergeCell ref="I2:J3"/>
    <mergeCell ref="E43:E44"/>
    <mergeCell ref="F43:F44"/>
    <mergeCell ref="G43:J43"/>
    <mergeCell ref="G23:J23"/>
    <mergeCell ref="G32:J32"/>
    <mergeCell ref="E23:E24"/>
    <mergeCell ref="F23:F24"/>
    <mergeCell ref="E32:E33"/>
    <mergeCell ref="F32:F33"/>
    <mergeCell ref="D43:D44"/>
    <mergeCell ref="E51:E52"/>
    <mergeCell ref="F51:F52"/>
    <mergeCell ref="G51:J51"/>
    <mergeCell ref="G62:J62"/>
    <mergeCell ref="A62:A63"/>
    <mergeCell ref="B62:B63"/>
    <mergeCell ref="C62:C63"/>
    <mergeCell ref="D62:D63"/>
    <mergeCell ref="F62:F63"/>
    <mergeCell ref="G71:J71"/>
    <mergeCell ref="E5:E6"/>
    <mergeCell ref="F5:F6"/>
    <mergeCell ref="G5:J5"/>
    <mergeCell ref="E13:E14"/>
    <mergeCell ref="F13:F14"/>
    <mergeCell ref="G13:J13"/>
    <mergeCell ref="E71:E72"/>
    <mergeCell ref="F71:F72"/>
    <mergeCell ref="E62:E63"/>
    <mergeCell ref="D5:D6"/>
    <mergeCell ref="A13:A14"/>
    <mergeCell ref="B13:B14"/>
    <mergeCell ref="C13:C14"/>
    <mergeCell ref="D13:D14"/>
    <mergeCell ref="A43:A44"/>
    <mergeCell ref="A5:A6"/>
    <mergeCell ref="B5:B6"/>
    <mergeCell ref="C5:C6"/>
    <mergeCell ref="B43:B44"/>
    <mergeCell ref="C43:C44"/>
    <mergeCell ref="A23:A24"/>
    <mergeCell ref="B23:B24"/>
    <mergeCell ref="A32:A33"/>
    <mergeCell ref="B32:B33"/>
    <mergeCell ref="A51:A52"/>
    <mergeCell ref="B51:B52"/>
    <mergeCell ref="C51:C52"/>
    <mergeCell ref="D51:D52"/>
    <mergeCell ref="A71:A72"/>
    <mergeCell ref="B71:B72"/>
    <mergeCell ref="C71:C72"/>
    <mergeCell ref="D71:D72"/>
    <mergeCell ref="C23:C24"/>
    <mergeCell ref="D23:D24"/>
    <mergeCell ref="C32:C33"/>
    <mergeCell ref="D32:D33"/>
  </mergeCells>
  <printOptions/>
  <pageMargins left="0.53" right="0.3937007874015748" top="0.5" bottom="0.51" header="0.43" footer="0.33"/>
  <pageSetup horizontalDpi="600" verticalDpi="600" orientation="portrait" paperSize="9" r:id="rId1"/>
  <rowBreaks count="1" manualBreakCount="1">
    <brk id="39" max="9" man="1"/>
  </rowBreaks>
</worksheet>
</file>

<file path=xl/worksheets/sheet7.xml><?xml version="1.0" encoding="utf-8"?>
<worksheet xmlns="http://schemas.openxmlformats.org/spreadsheetml/2006/main" xmlns:r="http://schemas.openxmlformats.org/officeDocument/2006/relationships">
  <dimension ref="A1:AV12"/>
  <sheetViews>
    <sheetView workbookViewId="0" topLeftCell="A1">
      <selection activeCell="C6" sqref="C6"/>
    </sheetView>
  </sheetViews>
  <sheetFormatPr defaultColWidth="9.00390625" defaultRowHeight="13.5"/>
  <cols>
    <col min="6" max="14" width="0" style="0" hidden="1" customWidth="1"/>
    <col min="22" max="36" width="0" style="0" hidden="1" customWidth="1"/>
  </cols>
  <sheetData>
    <row r="1" ht="13.5">
      <c r="C1" t="s">
        <v>508</v>
      </c>
    </row>
    <row r="2" spans="2:36" s="66" customFormat="1" ht="17.25" customHeight="1">
      <c r="B2" s="73"/>
      <c r="C2" s="74" t="s">
        <v>158</v>
      </c>
      <c r="D2" s="75" t="s">
        <v>124</v>
      </c>
      <c r="E2" s="75"/>
      <c r="F2" s="75"/>
      <c r="G2" s="75"/>
      <c r="H2" s="618"/>
      <c r="I2" s="618"/>
      <c r="J2" s="75"/>
      <c r="K2" s="75"/>
      <c r="L2" s="75"/>
      <c r="M2" s="75"/>
      <c r="N2" s="75"/>
      <c r="O2" s="732"/>
      <c r="P2" s="732"/>
      <c r="Q2" s="732"/>
      <c r="R2" s="732"/>
      <c r="S2" s="732"/>
      <c r="T2" s="732"/>
      <c r="U2" s="141"/>
      <c r="V2" s="76"/>
      <c r="W2" s="75"/>
      <c r="X2" s="75"/>
      <c r="Y2" s="75"/>
      <c r="Z2" s="75"/>
      <c r="AA2" s="75"/>
      <c r="AB2" s="75"/>
      <c r="AC2" s="76"/>
      <c r="AE2" s="76"/>
      <c r="AF2" s="76"/>
      <c r="AG2" s="77" t="s">
        <v>123</v>
      </c>
      <c r="AH2" s="77"/>
      <c r="AI2" s="77"/>
      <c r="AJ2" s="141"/>
    </row>
    <row r="3" spans="2:36" s="66" customFormat="1" ht="24" customHeight="1" thickBot="1">
      <c r="B3" s="73"/>
      <c r="C3" s="73"/>
      <c r="H3" s="619"/>
      <c r="I3" s="619"/>
      <c r="O3" s="737" t="s">
        <v>122</v>
      </c>
      <c r="P3" s="733"/>
      <c r="Q3" s="733"/>
      <c r="R3" s="733"/>
      <c r="S3" s="733"/>
      <c r="T3" s="733"/>
      <c r="U3" s="141"/>
      <c r="V3" s="78" t="s">
        <v>122</v>
      </c>
      <c r="AC3" s="78" t="s">
        <v>122</v>
      </c>
      <c r="AE3" s="79"/>
      <c r="AF3" s="378"/>
      <c r="AG3" s="80"/>
      <c r="AH3" s="81"/>
      <c r="AI3" s="81"/>
      <c r="AJ3" s="141"/>
    </row>
    <row r="4" spans="1:48" s="66" customFormat="1" ht="21.75" customHeight="1">
      <c r="A4" s="82" t="s">
        <v>138</v>
      </c>
      <c r="B4" s="83" t="s">
        <v>157</v>
      </c>
      <c r="C4" s="84" t="s">
        <v>435</v>
      </c>
      <c r="D4" s="136" t="s">
        <v>120</v>
      </c>
      <c r="E4" s="403" t="s">
        <v>119</v>
      </c>
      <c r="F4" s="855" t="s">
        <v>172</v>
      </c>
      <c r="G4" s="855"/>
      <c r="H4" s="855"/>
      <c r="I4" s="856"/>
      <c r="J4" s="403" t="s">
        <v>119</v>
      </c>
      <c r="K4" s="852" t="s">
        <v>117</v>
      </c>
      <c r="L4" s="852"/>
      <c r="M4" s="852"/>
      <c r="N4" s="853"/>
      <c r="O4" s="738" t="s">
        <v>546</v>
      </c>
      <c r="P4" s="857" t="s">
        <v>117</v>
      </c>
      <c r="Q4" s="857"/>
      <c r="R4" s="857"/>
      <c r="S4" s="858"/>
      <c r="T4" s="735"/>
      <c r="U4" s="86" t="s">
        <v>116</v>
      </c>
      <c r="V4" s="651" t="s">
        <v>543</v>
      </c>
      <c r="W4" s="403" t="s">
        <v>119</v>
      </c>
      <c r="X4" s="855" t="s">
        <v>720</v>
      </c>
      <c r="Y4" s="855"/>
      <c r="Z4" s="855"/>
      <c r="AA4" s="855"/>
      <c r="AB4" s="404"/>
      <c r="AC4" s="225" t="s">
        <v>542</v>
      </c>
      <c r="AD4" s="852" t="s">
        <v>545</v>
      </c>
      <c r="AE4" s="852"/>
      <c r="AF4" s="852"/>
      <c r="AG4" s="853"/>
      <c r="AH4" s="85" t="s">
        <v>763</v>
      </c>
      <c r="AI4" s="84"/>
      <c r="AJ4" s="86" t="s">
        <v>116</v>
      </c>
      <c r="AL4" s="28" t="s">
        <v>803</v>
      </c>
      <c r="AN4" s="127" t="s">
        <v>140</v>
      </c>
      <c r="AO4" s="127" t="s">
        <v>142</v>
      </c>
      <c r="AP4" s="127" t="s">
        <v>681</v>
      </c>
      <c r="AQ4" s="127" t="s">
        <v>288</v>
      </c>
      <c r="AR4" s="127" t="s">
        <v>778</v>
      </c>
      <c r="AS4" s="127" t="s">
        <v>683</v>
      </c>
      <c r="AT4" s="127"/>
      <c r="AU4" s="127" t="s">
        <v>802</v>
      </c>
      <c r="AV4" s="127" t="s">
        <v>42</v>
      </c>
    </row>
    <row r="5" spans="1:36" s="66" customFormat="1" ht="21.75" customHeight="1" thickBot="1">
      <c r="A5" s="122"/>
      <c r="B5" s="123"/>
      <c r="C5" s="124"/>
      <c r="D5" s="137"/>
      <c r="E5" s="405" t="s">
        <v>171</v>
      </c>
      <c r="F5" s="406" t="s">
        <v>115</v>
      </c>
      <c r="G5" s="407" t="s">
        <v>114</v>
      </c>
      <c r="H5" s="620" t="s">
        <v>113</v>
      </c>
      <c r="I5" s="640" t="s">
        <v>112</v>
      </c>
      <c r="J5" s="405" t="s">
        <v>544</v>
      </c>
      <c r="K5" s="200" t="s">
        <v>115</v>
      </c>
      <c r="L5" s="201" t="s">
        <v>114</v>
      </c>
      <c r="M5" s="201" t="s">
        <v>113</v>
      </c>
      <c r="N5" s="202" t="s">
        <v>112</v>
      </c>
      <c r="O5" s="739"/>
      <c r="P5" s="740" t="s">
        <v>115</v>
      </c>
      <c r="Q5" s="741" t="s">
        <v>114</v>
      </c>
      <c r="R5" s="741" t="s">
        <v>113</v>
      </c>
      <c r="S5" s="742" t="s">
        <v>112</v>
      </c>
      <c r="T5" s="736" t="s">
        <v>661</v>
      </c>
      <c r="U5" s="87"/>
      <c r="V5" s="652"/>
      <c r="W5" s="405" t="s">
        <v>814</v>
      </c>
      <c r="X5" s="406" t="s">
        <v>115</v>
      </c>
      <c r="Y5" s="407" t="s">
        <v>114</v>
      </c>
      <c r="Z5" s="407" t="s">
        <v>113</v>
      </c>
      <c r="AA5" s="407" t="s">
        <v>112</v>
      </c>
      <c r="AB5" s="408" t="s">
        <v>661</v>
      </c>
      <c r="AC5" s="228"/>
      <c r="AD5" s="200" t="s">
        <v>115</v>
      </c>
      <c r="AE5" s="201" t="s">
        <v>114</v>
      </c>
      <c r="AF5" s="201" t="s">
        <v>113</v>
      </c>
      <c r="AG5" s="202" t="s">
        <v>112</v>
      </c>
      <c r="AH5" s="125"/>
      <c r="AI5" s="124"/>
      <c r="AJ5" s="87"/>
    </row>
    <row r="6" spans="1:47" s="66" customFormat="1" ht="56.25" customHeight="1">
      <c r="A6" s="89"/>
      <c r="B6" s="158"/>
      <c r="C6" s="50" t="s">
        <v>430</v>
      </c>
      <c r="D6" s="50" t="s">
        <v>689</v>
      </c>
      <c r="E6" s="33">
        <v>41200</v>
      </c>
      <c r="F6" s="414"/>
      <c r="G6" s="414"/>
      <c r="H6" s="414"/>
      <c r="I6" s="414"/>
      <c r="J6" s="33">
        <v>35400</v>
      </c>
      <c r="K6" s="33"/>
      <c r="L6" s="33"/>
      <c r="M6" s="33"/>
      <c r="N6" s="33"/>
      <c r="O6" s="728"/>
      <c r="P6" s="34"/>
      <c r="Q6" s="35"/>
      <c r="R6" s="35"/>
      <c r="S6" s="724"/>
      <c r="T6" s="734">
        <f aca="true" t="shared" si="0" ref="T6:T12">O6-P6-Q6-R6-S6</f>
        <v>0</v>
      </c>
      <c r="U6" s="142" t="s">
        <v>367</v>
      </c>
      <c r="V6" s="33">
        <v>299156</v>
      </c>
      <c r="W6" s="413">
        <v>84669</v>
      </c>
      <c r="X6" s="414"/>
      <c r="Y6" s="414"/>
      <c r="Z6" s="414"/>
      <c r="AA6" s="414"/>
      <c r="AB6" s="414"/>
      <c r="AC6" s="33">
        <v>257374</v>
      </c>
      <c r="AD6" s="34"/>
      <c r="AE6" s="35"/>
      <c r="AF6" s="35"/>
      <c r="AG6" s="27">
        <v>299156</v>
      </c>
      <c r="AH6" s="118"/>
      <c r="AI6" s="155"/>
      <c r="AJ6" s="142" t="s">
        <v>487</v>
      </c>
      <c r="AK6" s="66" t="s">
        <v>425</v>
      </c>
      <c r="AL6" s="128">
        <f aca="true" t="shared" si="1" ref="AL6:AL12">V6-AD6-AE6-AF6-AG6</f>
        <v>0</v>
      </c>
      <c r="AT6" s="210">
        <f>SUM(AN6:AS6)</f>
        <v>0</v>
      </c>
      <c r="AU6" s="207" t="str">
        <f aca="true" t="shared" si="2" ref="AU6:AU12">IF(Q6=AT6,"OK","OUT")</f>
        <v>OK</v>
      </c>
    </row>
    <row r="7" spans="1:47" s="66" customFormat="1" ht="39" customHeight="1">
      <c r="A7" s="89"/>
      <c r="B7" s="91" t="s">
        <v>180</v>
      </c>
      <c r="C7" s="50" t="s">
        <v>181</v>
      </c>
      <c r="D7" s="50"/>
      <c r="E7" s="33">
        <v>283488</v>
      </c>
      <c r="F7" s="414"/>
      <c r="G7" s="414"/>
      <c r="H7" s="414"/>
      <c r="I7" s="414">
        <v>283488</v>
      </c>
      <c r="J7" s="33">
        <v>252590</v>
      </c>
      <c r="K7" s="33"/>
      <c r="L7" s="33"/>
      <c r="M7" s="33"/>
      <c r="N7" s="33"/>
      <c r="O7" s="728"/>
      <c r="P7" s="34"/>
      <c r="Q7" s="35"/>
      <c r="R7" s="35"/>
      <c r="S7" s="724"/>
      <c r="T7" s="734">
        <f t="shared" si="0"/>
        <v>0</v>
      </c>
      <c r="U7" s="142" t="s">
        <v>251</v>
      </c>
      <c r="V7" s="33">
        <v>164747</v>
      </c>
      <c r="W7" s="413"/>
      <c r="X7" s="414"/>
      <c r="Y7" s="414"/>
      <c r="Z7" s="414"/>
      <c r="AA7" s="414"/>
      <c r="AB7" s="414"/>
      <c r="AC7" s="33"/>
      <c r="AD7" s="34"/>
      <c r="AE7" s="35"/>
      <c r="AF7" s="35"/>
      <c r="AG7" s="27">
        <v>164747</v>
      </c>
      <c r="AH7" s="118"/>
      <c r="AI7" s="155"/>
      <c r="AJ7" s="142" t="s">
        <v>251</v>
      </c>
      <c r="AK7" s="66" t="s">
        <v>425</v>
      </c>
      <c r="AL7" s="128">
        <f t="shared" si="1"/>
        <v>0</v>
      </c>
      <c r="AT7" s="210"/>
      <c r="AU7" s="207" t="str">
        <f t="shared" si="2"/>
        <v>OK</v>
      </c>
    </row>
    <row r="8" spans="1:47" s="66" customFormat="1" ht="39" customHeight="1">
      <c r="A8" s="89"/>
      <c r="B8" s="91" t="s">
        <v>249</v>
      </c>
      <c r="C8" s="50" t="s">
        <v>250</v>
      </c>
      <c r="D8" s="50"/>
      <c r="E8" s="33">
        <v>1990846</v>
      </c>
      <c r="F8" s="414"/>
      <c r="G8" s="414"/>
      <c r="H8" s="414"/>
      <c r="I8" s="414"/>
      <c r="J8" s="33">
        <v>1831503</v>
      </c>
      <c r="K8" s="33"/>
      <c r="L8" s="33"/>
      <c r="M8" s="33"/>
      <c r="N8" s="33"/>
      <c r="O8" s="728"/>
      <c r="P8" s="34"/>
      <c r="Q8" s="118"/>
      <c r="R8" s="35"/>
      <c r="S8" s="724"/>
      <c r="T8" s="734">
        <f t="shared" si="0"/>
        <v>0</v>
      </c>
      <c r="U8" s="142" t="s">
        <v>251</v>
      </c>
      <c r="V8" s="33">
        <v>-164747</v>
      </c>
      <c r="W8" s="413"/>
      <c r="X8" s="414"/>
      <c r="Y8" s="414"/>
      <c r="Z8" s="414"/>
      <c r="AA8" s="414"/>
      <c r="AB8" s="414"/>
      <c r="AC8" s="33"/>
      <c r="AD8" s="34"/>
      <c r="AE8" s="118"/>
      <c r="AF8" s="35"/>
      <c r="AG8" s="27">
        <v>-164747</v>
      </c>
      <c r="AH8" s="118"/>
      <c r="AI8" s="155"/>
      <c r="AJ8" s="142" t="s">
        <v>251</v>
      </c>
      <c r="AK8" s="66" t="s">
        <v>421</v>
      </c>
      <c r="AL8" s="128">
        <f t="shared" si="1"/>
        <v>0</v>
      </c>
      <c r="AT8" s="210"/>
      <c r="AU8" s="207" t="str">
        <f t="shared" si="2"/>
        <v>OK</v>
      </c>
    </row>
    <row r="9" spans="1:47" s="66" customFormat="1" ht="48" customHeight="1">
      <c r="A9" s="99"/>
      <c r="B9" s="93" t="s">
        <v>795</v>
      </c>
      <c r="C9" s="38" t="s">
        <v>796</v>
      </c>
      <c r="D9" s="38" t="s">
        <v>797</v>
      </c>
      <c r="E9" s="26" t="s">
        <v>442</v>
      </c>
      <c r="F9" s="416"/>
      <c r="G9" s="416"/>
      <c r="H9" s="416"/>
      <c r="I9" s="416"/>
      <c r="J9" s="26" t="s">
        <v>442</v>
      </c>
      <c r="K9" s="26"/>
      <c r="L9" s="26"/>
      <c r="M9" s="26"/>
      <c r="N9" s="26"/>
      <c r="O9" s="729"/>
      <c r="P9" s="47"/>
      <c r="Q9" s="48"/>
      <c r="R9" s="48"/>
      <c r="S9" s="727"/>
      <c r="T9" s="734">
        <f t="shared" si="0"/>
        <v>0</v>
      </c>
      <c r="U9" s="129" t="s">
        <v>837</v>
      </c>
      <c r="V9" s="26">
        <v>200000</v>
      </c>
      <c r="W9" s="415" t="s">
        <v>442</v>
      </c>
      <c r="X9" s="416"/>
      <c r="Y9" s="416"/>
      <c r="Z9" s="416"/>
      <c r="AA9" s="416"/>
      <c r="AB9" s="416"/>
      <c r="AC9" s="26">
        <v>200000</v>
      </c>
      <c r="AD9" s="47"/>
      <c r="AE9" s="48"/>
      <c r="AF9" s="48"/>
      <c r="AG9" s="49">
        <v>200000</v>
      </c>
      <c r="AH9" s="119"/>
      <c r="AI9" s="149"/>
      <c r="AJ9" s="129" t="s">
        <v>837</v>
      </c>
      <c r="AK9" s="66" t="s">
        <v>425</v>
      </c>
      <c r="AL9" s="128">
        <f t="shared" si="1"/>
        <v>0</v>
      </c>
      <c r="AT9" s="210">
        <f>SUM(AN9:AS9)</f>
        <v>0</v>
      </c>
      <c r="AU9" s="207" t="str">
        <f t="shared" si="2"/>
        <v>OK</v>
      </c>
    </row>
    <row r="10" spans="1:47" s="66" customFormat="1" ht="60.75" customHeight="1">
      <c r="A10" s="99"/>
      <c r="B10" s="93" t="s">
        <v>271</v>
      </c>
      <c r="C10" s="38" t="s">
        <v>40</v>
      </c>
      <c r="D10" s="38" t="s">
        <v>703</v>
      </c>
      <c r="E10" s="26">
        <v>1030565</v>
      </c>
      <c r="F10" s="425"/>
      <c r="G10" s="425"/>
      <c r="H10" s="617">
        <v>1029500</v>
      </c>
      <c r="I10" s="617">
        <v>1065</v>
      </c>
      <c r="J10" s="26">
        <v>30500</v>
      </c>
      <c r="K10" s="26"/>
      <c r="L10" s="26"/>
      <c r="M10" s="26"/>
      <c r="N10" s="26"/>
      <c r="O10" s="729"/>
      <c r="P10" s="47"/>
      <c r="Q10" s="48"/>
      <c r="R10" s="726"/>
      <c r="S10" s="727"/>
      <c r="T10" s="734">
        <f t="shared" si="0"/>
        <v>0</v>
      </c>
      <c r="U10" s="129" t="s">
        <v>495</v>
      </c>
      <c r="V10" s="26">
        <v>-278000</v>
      </c>
      <c r="W10" s="415">
        <v>1086000</v>
      </c>
      <c r="X10" s="425"/>
      <c r="Y10" s="425"/>
      <c r="Z10" s="425"/>
      <c r="AA10" s="425"/>
      <c r="AB10" s="424">
        <f>W10-X10-Y10-Z10-AA10</f>
        <v>1086000</v>
      </c>
      <c r="AC10" s="26">
        <v>-243000</v>
      </c>
      <c r="AD10" s="47"/>
      <c r="AE10" s="48"/>
      <c r="AF10" s="48">
        <v>-277900</v>
      </c>
      <c r="AG10" s="49">
        <v>-100</v>
      </c>
      <c r="AH10" s="119"/>
      <c r="AI10" s="149"/>
      <c r="AJ10" s="129" t="s">
        <v>495</v>
      </c>
      <c r="AK10" s="66" t="s">
        <v>421</v>
      </c>
      <c r="AL10" s="128">
        <f t="shared" si="1"/>
        <v>0</v>
      </c>
      <c r="AN10" s="209"/>
      <c r="AO10" s="209"/>
      <c r="AP10" s="209"/>
      <c r="AQ10" s="209"/>
      <c r="AR10" s="209"/>
      <c r="AS10" s="209"/>
      <c r="AT10" s="210">
        <f>SUM(AN10:AS10)</f>
        <v>0</v>
      </c>
      <c r="AU10" s="207" t="str">
        <f t="shared" si="2"/>
        <v>OK</v>
      </c>
    </row>
    <row r="11" spans="1:47" s="66" customFormat="1" ht="50.25" customHeight="1">
      <c r="A11" s="222"/>
      <c r="B11" s="217"/>
      <c r="C11" s="56"/>
      <c r="D11" s="38" t="s">
        <v>576</v>
      </c>
      <c r="E11" s="332">
        <v>92400</v>
      </c>
      <c r="F11" s="416"/>
      <c r="G11" s="416"/>
      <c r="H11" s="416"/>
      <c r="I11" s="416"/>
      <c r="J11" s="730" t="s">
        <v>558</v>
      </c>
      <c r="K11" s="332"/>
      <c r="L11" s="332"/>
      <c r="M11" s="332"/>
      <c r="N11" s="332"/>
      <c r="O11" s="332"/>
      <c r="P11" s="320"/>
      <c r="Q11" s="187"/>
      <c r="R11" s="187"/>
      <c r="S11" s="188"/>
      <c r="T11" s="734">
        <f t="shared" si="0"/>
        <v>0</v>
      </c>
      <c r="U11" s="129" t="s">
        <v>863</v>
      </c>
      <c r="V11" s="332">
        <v>92400</v>
      </c>
      <c r="W11" s="415">
        <v>92400</v>
      </c>
      <c r="X11" s="416"/>
      <c r="Y11" s="416"/>
      <c r="Z11" s="416"/>
      <c r="AA11" s="416"/>
      <c r="AB11" s="424">
        <f>W11-X11-Y11-Z11-AA11</f>
        <v>92400</v>
      </c>
      <c r="AC11" s="332">
        <v>92400</v>
      </c>
      <c r="AD11" s="320"/>
      <c r="AE11" s="187"/>
      <c r="AF11" s="187"/>
      <c r="AG11" s="188">
        <v>92400</v>
      </c>
      <c r="AH11" s="177"/>
      <c r="AI11" s="189"/>
      <c r="AJ11" s="129" t="s">
        <v>863</v>
      </c>
      <c r="AK11" s="66" t="s">
        <v>425</v>
      </c>
      <c r="AL11" s="128">
        <f t="shared" si="1"/>
        <v>0</v>
      </c>
      <c r="AT11" s="210">
        <f>SUM(AN11:AS11)</f>
        <v>0</v>
      </c>
      <c r="AU11" s="207" t="str">
        <f t="shared" si="2"/>
        <v>OK</v>
      </c>
    </row>
    <row r="12" spans="1:47" s="66" customFormat="1" ht="41.25" customHeight="1">
      <c r="A12" s="89"/>
      <c r="B12" s="92"/>
      <c r="C12" s="50" t="s">
        <v>761</v>
      </c>
      <c r="D12" s="50" t="s">
        <v>97</v>
      </c>
      <c r="E12" s="33" t="s">
        <v>518</v>
      </c>
      <c r="F12" s="414"/>
      <c r="G12" s="414"/>
      <c r="H12" s="414"/>
      <c r="I12" s="414"/>
      <c r="J12" s="33" t="s">
        <v>518</v>
      </c>
      <c r="K12" s="33"/>
      <c r="L12" s="33"/>
      <c r="M12" s="33"/>
      <c r="N12" s="33"/>
      <c r="O12" s="728">
        <v>4708</v>
      </c>
      <c r="P12" s="34"/>
      <c r="Q12" s="35"/>
      <c r="R12" s="35"/>
      <c r="S12" s="724">
        <v>4708</v>
      </c>
      <c r="T12" s="734">
        <f t="shared" si="0"/>
        <v>0</v>
      </c>
      <c r="U12" s="142" t="s">
        <v>98</v>
      </c>
      <c r="V12" s="33">
        <v>4708</v>
      </c>
      <c r="W12" s="413">
        <v>4708</v>
      </c>
      <c r="X12" s="414"/>
      <c r="Y12" s="414"/>
      <c r="Z12" s="414"/>
      <c r="AA12" s="414"/>
      <c r="AB12" s="414"/>
      <c r="AC12" s="33">
        <v>5000</v>
      </c>
      <c r="AD12" s="34"/>
      <c r="AE12" s="35"/>
      <c r="AF12" s="35"/>
      <c r="AG12" s="27">
        <v>4708</v>
      </c>
      <c r="AH12" s="118"/>
      <c r="AI12" s="155"/>
      <c r="AJ12" s="142" t="s">
        <v>98</v>
      </c>
      <c r="AK12" s="66" t="s">
        <v>425</v>
      </c>
      <c r="AL12" s="128">
        <f t="shared" si="1"/>
        <v>0</v>
      </c>
      <c r="AT12" s="210">
        <f>SUM(AN12:AS12)</f>
        <v>0</v>
      </c>
      <c r="AU12" s="207" t="str">
        <f t="shared" si="2"/>
        <v>OK</v>
      </c>
    </row>
  </sheetData>
  <mergeCells count="5">
    <mergeCell ref="AD4:AG4"/>
    <mergeCell ref="F4:I4"/>
    <mergeCell ref="K4:N4"/>
    <mergeCell ref="P4:S4"/>
    <mergeCell ref="X4:AA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AK62"/>
  <sheetViews>
    <sheetView workbookViewId="0" topLeftCell="A33">
      <selection activeCell="D41" sqref="D41"/>
    </sheetView>
  </sheetViews>
  <sheetFormatPr defaultColWidth="9.00390625" defaultRowHeight="13.5"/>
  <cols>
    <col min="1" max="1" width="3.25390625" style="0" customWidth="1"/>
    <col min="2" max="2" width="3.375" style="0" customWidth="1"/>
    <col min="3" max="3" width="4.875" style="0" customWidth="1"/>
    <col min="4" max="4" width="7.50390625" style="0" customWidth="1"/>
    <col min="6" max="6" width="11.875" style="0" customWidth="1"/>
    <col min="7" max="10" width="0" style="0" hidden="1" customWidth="1"/>
    <col min="11" max="11" width="9.875" style="0" customWidth="1"/>
    <col min="12" max="12" width="7.125" style="0" hidden="1" customWidth="1"/>
    <col min="13" max="14" width="6.375" style="0" hidden="1" customWidth="1"/>
    <col min="15" max="15" width="7.125" style="0" hidden="1" customWidth="1"/>
    <col min="16" max="16" width="9.375" style="0" hidden="1" customWidth="1"/>
    <col min="17" max="17" width="11.625" style="0" hidden="1" customWidth="1"/>
    <col min="18" max="18" width="12.00390625" style="0" hidden="1" customWidth="1"/>
    <col min="22" max="22" width="11.25390625" style="0" customWidth="1"/>
    <col min="23" max="23" width="7.625" style="0" customWidth="1"/>
  </cols>
  <sheetData>
    <row r="1" spans="3:25" s="66" customFormat="1" ht="17.25" customHeight="1">
      <c r="C1" s="73"/>
      <c r="D1" s="74" t="s">
        <v>158</v>
      </c>
      <c r="E1" s="75" t="s">
        <v>614</v>
      </c>
      <c r="F1" s="75"/>
      <c r="G1" s="75"/>
      <c r="H1" s="75"/>
      <c r="I1" s="618"/>
      <c r="J1" s="618"/>
      <c r="K1" s="76"/>
      <c r="L1" s="75"/>
      <c r="M1" s="75"/>
      <c r="N1" s="75"/>
      <c r="O1" s="75"/>
      <c r="P1" s="75"/>
      <c r="Q1" s="75"/>
      <c r="R1" s="76"/>
      <c r="T1" s="76"/>
      <c r="U1" s="76"/>
      <c r="V1" s="77" t="s">
        <v>123</v>
      </c>
      <c r="W1" s="77"/>
      <c r="X1" s="77"/>
      <c r="Y1" s="141"/>
    </row>
    <row r="2" spans="3:25" s="66" customFormat="1" ht="24" customHeight="1" thickBot="1">
      <c r="C2" s="73"/>
      <c r="D2" s="73"/>
      <c r="I2" s="619"/>
      <c r="J2" s="619"/>
      <c r="K2" s="78" t="s">
        <v>122</v>
      </c>
      <c r="R2" s="78" t="s">
        <v>122</v>
      </c>
      <c r="T2" s="79"/>
      <c r="U2" s="378"/>
      <c r="V2" s="80"/>
      <c r="W2" s="81"/>
      <c r="X2" s="81"/>
      <c r="Y2" s="141"/>
    </row>
    <row r="3" spans="2:37" s="66" customFormat="1" ht="21.75" customHeight="1">
      <c r="B3" s="82" t="s">
        <v>138</v>
      </c>
      <c r="C3" s="83" t="s">
        <v>157</v>
      </c>
      <c r="D3" s="84" t="s">
        <v>435</v>
      </c>
      <c r="E3" s="136" t="s">
        <v>120</v>
      </c>
      <c r="F3" s="403" t="s">
        <v>119</v>
      </c>
      <c r="G3" s="855" t="s">
        <v>172</v>
      </c>
      <c r="H3" s="855"/>
      <c r="I3" s="855"/>
      <c r="J3" s="856"/>
      <c r="K3" s="651" t="s">
        <v>118</v>
      </c>
      <c r="L3" s="223" t="s">
        <v>119</v>
      </c>
      <c r="M3" s="855" t="s">
        <v>720</v>
      </c>
      <c r="N3" s="855"/>
      <c r="O3" s="855"/>
      <c r="P3" s="855"/>
      <c r="Q3" s="404"/>
      <c r="R3" s="225" t="s">
        <v>118</v>
      </c>
      <c r="S3" s="852" t="s">
        <v>117</v>
      </c>
      <c r="T3" s="852"/>
      <c r="U3" s="852"/>
      <c r="V3" s="853"/>
      <c r="W3" s="85" t="s">
        <v>763</v>
      </c>
      <c r="X3" s="85"/>
      <c r="Y3" s="86" t="s">
        <v>116</v>
      </c>
      <c r="AA3" s="28" t="s">
        <v>803</v>
      </c>
      <c r="AC3" s="127" t="s">
        <v>140</v>
      </c>
      <c r="AD3" s="127" t="s">
        <v>142</v>
      </c>
      <c r="AE3" s="127" t="s">
        <v>681</v>
      </c>
      <c r="AF3" s="127" t="s">
        <v>288</v>
      </c>
      <c r="AG3" s="127" t="s">
        <v>778</v>
      </c>
      <c r="AH3" s="127" t="s">
        <v>683</v>
      </c>
      <c r="AI3" s="127"/>
      <c r="AJ3" s="127" t="s">
        <v>802</v>
      </c>
      <c r="AK3" s="127" t="s">
        <v>42</v>
      </c>
    </row>
    <row r="4" spans="2:25" s="66" customFormat="1" ht="21.75" customHeight="1" thickBot="1">
      <c r="B4" s="122"/>
      <c r="C4" s="123"/>
      <c r="D4" s="124"/>
      <c r="E4" s="137"/>
      <c r="F4" s="405" t="s">
        <v>171</v>
      </c>
      <c r="G4" s="406" t="s">
        <v>115</v>
      </c>
      <c r="H4" s="407" t="s">
        <v>114</v>
      </c>
      <c r="I4" s="620" t="s">
        <v>113</v>
      </c>
      <c r="J4" s="640" t="s">
        <v>112</v>
      </c>
      <c r="K4" s="652"/>
      <c r="L4" s="227" t="s">
        <v>814</v>
      </c>
      <c r="M4" s="406" t="s">
        <v>115</v>
      </c>
      <c r="N4" s="407" t="s">
        <v>114</v>
      </c>
      <c r="O4" s="407" t="s">
        <v>113</v>
      </c>
      <c r="P4" s="407" t="s">
        <v>112</v>
      </c>
      <c r="Q4" s="408" t="s">
        <v>661</v>
      </c>
      <c r="R4" s="228"/>
      <c r="S4" s="200" t="s">
        <v>115</v>
      </c>
      <c r="T4" s="201" t="s">
        <v>114</v>
      </c>
      <c r="U4" s="201" t="s">
        <v>113</v>
      </c>
      <c r="V4" s="202" t="s">
        <v>112</v>
      </c>
      <c r="W4" s="125"/>
      <c r="X4" s="125"/>
      <c r="Y4" s="87"/>
    </row>
    <row r="5" spans="1:36" s="66" customFormat="1" ht="42" customHeight="1">
      <c r="A5" s="66">
        <v>1</v>
      </c>
      <c r="B5" s="819" t="s">
        <v>11</v>
      </c>
      <c r="C5" s="90" t="s">
        <v>28</v>
      </c>
      <c r="D5" s="51" t="s">
        <v>29</v>
      </c>
      <c r="E5" s="50" t="s">
        <v>30</v>
      </c>
      <c r="F5" s="33">
        <v>21925</v>
      </c>
      <c r="G5" s="414"/>
      <c r="H5" s="414"/>
      <c r="I5" s="414"/>
      <c r="J5" s="641"/>
      <c r="K5" s="653">
        <v>21925</v>
      </c>
      <c r="L5" s="132" t="s">
        <v>442</v>
      </c>
      <c r="M5" s="414"/>
      <c r="N5" s="414"/>
      <c r="O5" s="414"/>
      <c r="P5" s="414"/>
      <c r="Q5" s="414"/>
      <c r="R5" s="33">
        <v>22070</v>
      </c>
      <c r="S5" s="34"/>
      <c r="T5" s="35">
        <v>21925</v>
      </c>
      <c r="U5" s="35"/>
      <c r="V5" s="27"/>
      <c r="W5" s="27"/>
      <c r="X5" s="27"/>
      <c r="Y5" s="129" t="s">
        <v>657</v>
      </c>
      <c r="Z5" s="66" t="s">
        <v>425</v>
      </c>
      <c r="AA5" s="128">
        <f>K5-S5-T5-U5-V5</f>
        <v>0</v>
      </c>
      <c r="AG5" s="612">
        <v>21925</v>
      </c>
      <c r="AI5" s="210">
        <f aca="true" t="shared" si="0" ref="AI5:AI23">SUM(AC5:AH5)</f>
        <v>21925</v>
      </c>
      <c r="AJ5" s="207" t="str">
        <f aca="true" t="shared" si="1" ref="AJ5:AJ23">IF(T5=AI5,"OK","OUT")</f>
        <v>OK</v>
      </c>
    </row>
    <row r="6" spans="1:36" s="66" customFormat="1" ht="31.5" customHeight="1">
      <c r="A6" s="66">
        <v>2</v>
      </c>
      <c r="B6" s="820"/>
      <c r="C6" s="92"/>
      <c r="D6" s="50"/>
      <c r="E6" s="50" t="s">
        <v>812</v>
      </c>
      <c r="F6" s="33">
        <v>2445</v>
      </c>
      <c r="G6" s="414"/>
      <c r="H6" s="414"/>
      <c r="I6" s="414"/>
      <c r="J6" s="641">
        <v>2801</v>
      </c>
      <c r="K6" s="653">
        <v>2801</v>
      </c>
      <c r="L6" s="132">
        <v>2677</v>
      </c>
      <c r="M6" s="414"/>
      <c r="N6" s="414"/>
      <c r="O6" s="414"/>
      <c r="P6" s="414"/>
      <c r="Q6" s="414"/>
      <c r="R6" s="33">
        <v>2569</v>
      </c>
      <c r="S6" s="34"/>
      <c r="T6" s="35"/>
      <c r="U6" s="35"/>
      <c r="V6" s="27">
        <v>2801</v>
      </c>
      <c r="W6" s="27"/>
      <c r="X6" s="27"/>
      <c r="Y6" s="142" t="s">
        <v>174</v>
      </c>
      <c r="Z6" s="66" t="s">
        <v>425</v>
      </c>
      <c r="AA6" s="128">
        <f aca="true" t="shared" si="2" ref="AA6:AA36">K6-S6-T6-U6-V6</f>
        <v>0</v>
      </c>
      <c r="AG6" s="35"/>
      <c r="AI6" s="210">
        <f t="shared" si="0"/>
        <v>0</v>
      </c>
      <c r="AJ6" s="207" t="str">
        <f t="shared" si="1"/>
        <v>OK</v>
      </c>
    </row>
    <row r="7" spans="1:36" s="66" customFormat="1" ht="55.5" customHeight="1" thickBot="1">
      <c r="A7" s="66">
        <v>3</v>
      </c>
      <c r="B7" s="89"/>
      <c r="C7" s="90" t="s">
        <v>448</v>
      </c>
      <c r="D7" s="51" t="s">
        <v>822</v>
      </c>
      <c r="E7" s="50" t="s">
        <v>823</v>
      </c>
      <c r="F7" s="33">
        <v>280</v>
      </c>
      <c r="G7" s="414"/>
      <c r="H7" s="414">
        <v>76</v>
      </c>
      <c r="I7" s="414"/>
      <c r="J7" s="641">
        <v>204</v>
      </c>
      <c r="K7" s="653">
        <v>10000</v>
      </c>
      <c r="L7" s="132">
        <v>292</v>
      </c>
      <c r="M7" s="414"/>
      <c r="N7" s="414"/>
      <c r="O7" s="414"/>
      <c r="P7" s="414"/>
      <c r="Q7" s="414"/>
      <c r="R7" s="33">
        <v>10000</v>
      </c>
      <c r="S7" s="34"/>
      <c r="T7" s="35"/>
      <c r="U7" s="35"/>
      <c r="V7" s="27">
        <v>10000</v>
      </c>
      <c r="W7" s="27"/>
      <c r="X7" s="27"/>
      <c r="Y7" s="142" t="s">
        <v>824</v>
      </c>
      <c r="Z7" s="66" t="s">
        <v>425</v>
      </c>
      <c r="AA7" s="128">
        <f t="shared" si="2"/>
        <v>0</v>
      </c>
      <c r="AG7" s="62"/>
      <c r="AI7" s="210">
        <f t="shared" si="0"/>
        <v>0</v>
      </c>
      <c r="AJ7" s="207" t="str">
        <f t="shared" si="1"/>
        <v>OK</v>
      </c>
    </row>
    <row r="8" spans="2:36" s="127" customFormat="1" ht="30" customHeight="1" thickBot="1">
      <c r="B8" s="167"/>
      <c r="C8" s="69"/>
      <c r="D8" s="57"/>
      <c r="E8" s="57" t="s">
        <v>403</v>
      </c>
      <c r="F8" s="175">
        <f>SUM(F5:F7)</f>
        <v>24650</v>
      </c>
      <c r="G8" s="412">
        <f aca="true" t="shared" si="3" ref="G8:V8">SUM(G5:G7)</f>
        <v>0</v>
      </c>
      <c r="H8" s="412">
        <f t="shared" si="3"/>
        <v>76</v>
      </c>
      <c r="I8" s="412">
        <f t="shared" si="3"/>
        <v>0</v>
      </c>
      <c r="J8" s="642">
        <f t="shared" si="3"/>
        <v>3005</v>
      </c>
      <c r="K8" s="654">
        <f t="shared" si="3"/>
        <v>34726</v>
      </c>
      <c r="L8" s="649">
        <f t="shared" si="3"/>
        <v>2969</v>
      </c>
      <c r="M8" s="412">
        <f t="shared" si="3"/>
        <v>0</v>
      </c>
      <c r="N8" s="412">
        <f t="shared" si="3"/>
        <v>0</v>
      </c>
      <c r="O8" s="412">
        <f t="shared" si="3"/>
        <v>0</v>
      </c>
      <c r="P8" s="412">
        <f t="shared" si="3"/>
        <v>0</v>
      </c>
      <c r="Q8" s="412">
        <f t="shared" si="3"/>
        <v>0</v>
      </c>
      <c r="R8" s="175">
        <f t="shared" si="3"/>
        <v>34639</v>
      </c>
      <c r="S8" s="630">
        <f t="shared" si="3"/>
        <v>0</v>
      </c>
      <c r="T8" s="170">
        <f t="shared" si="3"/>
        <v>21925</v>
      </c>
      <c r="U8" s="170">
        <f t="shared" si="3"/>
        <v>0</v>
      </c>
      <c r="V8" s="400">
        <f t="shared" si="3"/>
        <v>12801</v>
      </c>
      <c r="W8" s="632"/>
      <c r="X8" s="171"/>
      <c r="Y8" s="171"/>
      <c r="AA8" s="128">
        <f t="shared" si="2"/>
        <v>0</v>
      </c>
      <c r="AC8" s="175">
        <f aca="true" t="shared" si="4" ref="AC8:AH8">SUM(AC7)</f>
        <v>0</v>
      </c>
      <c r="AD8" s="175">
        <f t="shared" si="4"/>
        <v>0</v>
      </c>
      <c r="AE8" s="175">
        <f t="shared" si="4"/>
        <v>0</v>
      </c>
      <c r="AF8" s="175">
        <f t="shared" si="4"/>
        <v>0</v>
      </c>
      <c r="AG8" s="175">
        <f t="shared" si="4"/>
        <v>0</v>
      </c>
      <c r="AH8" s="175">
        <f t="shared" si="4"/>
        <v>0</v>
      </c>
      <c r="AI8" s="210">
        <f t="shared" si="0"/>
        <v>0</v>
      </c>
      <c r="AJ8" s="207" t="str">
        <f t="shared" si="1"/>
        <v>OUT</v>
      </c>
    </row>
    <row r="9" spans="1:36" s="66" customFormat="1" ht="43.5" customHeight="1">
      <c r="A9" s="66">
        <v>4</v>
      </c>
      <c r="B9" s="89" t="s">
        <v>438</v>
      </c>
      <c r="C9" s="91" t="s">
        <v>439</v>
      </c>
      <c r="D9" s="51" t="s">
        <v>456</v>
      </c>
      <c r="E9" s="50" t="s">
        <v>457</v>
      </c>
      <c r="F9" s="33">
        <v>396073</v>
      </c>
      <c r="G9" s="414"/>
      <c r="H9" s="414"/>
      <c r="I9" s="414"/>
      <c r="J9" s="641">
        <v>396073</v>
      </c>
      <c r="K9" s="653">
        <v>53903</v>
      </c>
      <c r="L9" s="132">
        <v>393308</v>
      </c>
      <c r="M9" s="414"/>
      <c r="N9" s="414"/>
      <c r="O9" s="414"/>
      <c r="P9" s="414"/>
      <c r="Q9" s="414"/>
      <c r="R9" s="33">
        <v>56668</v>
      </c>
      <c r="S9" s="34"/>
      <c r="T9" s="35"/>
      <c r="U9" s="35"/>
      <c r="V9" s="27">
        <v>53903</v>
      </c>
      <c r="W9" s="27"/>
      <c r="X9" s="27"/>
      <c r="Y9" s="142" t="s">
        <v>177</v>
      </c>
      <c r="Z9" s="66" t="s">
        <v>425</v>
      </c>
      <c r="AA9" s="128">
        <f t="shared" si="2"/>
        <v>0</v>
      </c>
      <c r="AI9" s="210">
        <f t="shared" si="0"/>
        <v>0</v>
      </c>
      <c r="AJ9" s="207" t="str">
        <f t="shared" si="1"/>
        <v>OK</v>
      </c>
    </row>
    <row r="10" spans="1:36" s="66" customFormat="1" ht="45.75" customHeight="1">
      <c r="A10" s="66">
        <v>5</v>
      </c>
      <c r="B10" s="89"/>
      <c r="C10" s="94" t="s">
        <v>387</v>
      </c>
      <c r="D10" s="51" t="s">
        <v>53</v>
      </c>
      <c r="E10" s="50" t="s">
        <v>82</v>
      </c>
      <c r="F10" s="33">
        <v>1092557</v>
      </c>
      <c r="G10" s="414">
        <v>12547</v>
      </c>
      <c r="H10" s="414"/>
      <c r="I10" s="414"/>
      <c r="J10" s="641">
        <v>1080010</v>
      </c>
      <c r="K10" s="653">
        <v>3000</v>
      </c>
      <c r="L10" s="132">
        <v>984530</v>
      </c>
      <c r="M10" s="414"/>
      <c r="N10" s="414"/>
      <c r="O10" s="414"/>
      <c r="P10" s="414"/>
      <c r="Q10" s="414"/>
      <c r="R10" s="33">
        <v>3000</v>
      </c>
      <c r="S10" s="34"/>
      <c r="T10" s="35"/>
      <c r="U10" s="35"/>
      <c r="V10" s="27">
        <v>3000</v>
      </c>
      <c r="W10" s="27"/>
      <c r="X10" s="27"/>
      <c r="Y10" s="129" t="s">
        <v>819</v>
      </c>
      <c r="Z10" s="66" t="s">
        <v>425</v>
      </c>
      <c r="AA10" s="128">
        <f t="shared" si="2"/>
        <v>0</v>
      </c>
      <c r="AI10" s="210">
        <f t="shared" si="0"/>
        <v>0</v>
      </c>
      <c r="AJ10" s="207" t="str">
        <f t="shared" si="1"/>
        <v>OK</v>
      </c>
    </row>
    <row r="11" spans="1:36" s="66" customFormat="1" ht="45.75" customHeight="1">
      <c r="A11" s="66">
        <v>6</v>
      </c>
      <c r="B11" s="89"/>
      <c r="C11" s="214"/>
      <c r="D11" s="38" t="s">
        <v>466</v>
      </c>
      <c r="E11" s="50" t="s">
        <v>467</v>
      </c>
      <c r="F11" s="33">
        <v>191376</v>
      </c>
      <c r="G11" s="414"/>
      <c r="H11" s="414"/>
      <c r="I11" s="414"/>
      <c r="J11" s="641">
        <v>191376</v>
      </c>
      <c r="K11" s="653">
        <v>37992</v>
      </c>
      <c r="L11" s="132">
        <v>183024</v>
      </c>
      <c r="M11" s="414"/>
      <c r="N11" s="414"/>
      <c r="O11" s="414"/>
      <c r="P11" s="414"/>
      <c r="Q11" s="414"/>
      <c r="R11" s="33">
        <v>46344</v>
      </c>
      <c r="S11" s="34"/>
      <c r="T11" s="35"/>
      <c r="U11" s="35"/>
      <c r="V11" s="27">
        <v>37992</v>
      </c>
      <c r="W11" s="633"/>
      <c r="X11" s="27"/>
      <c r="Y11" s="38" t="s">
        <v>178</v>
      </c>
      <c r="Z11" s="76" t="s">
        <v>425</v>
      </c>
      <c r="AA11" s="128">
        <f t="shared" si="2"/>
        <v>0</v>
      </c>
      <c r="AH11" s="76"/>
      <c r="AI11" s="210">
        <f t="shared" si="0"/>
        <v>0</v>
      </c>
      <c r="AJ11" s="207" t="str">
        <f t="shared" si="1"/>
        <v>OK</v>
      </c>
    </row>
    <row r="12" spans="1:36" s="66" customFormat="1" ht="57" customHeight="1">
      <c r="A12" s="66">
        <v>7</v>
      </c>
      <c r="B12" s="89"/>
      <c r="C12" s="214"/>
      <c r="D12" s="38" t="s">
        <v>37</v>
      </c>
      <c r="E12" s="50" t="s">
        <v>426</v>
      </c>
      <c r="F12" s="33">
        <v>5512961</v>
      </c>
      <c r="G12" s="414"/>
      <c r="H12" s="414"/>
      <c r="I12" s="414"/>
      <c r="J12" s="641">
        <v>5512961</v>
      </c>
      <c r="K12" s="653">
        <v>116000</v>
      </c>
      <c r="L12" s="132">
        <v>5213540</v>
      </c>
      <c r="M12" s="414"/>
      <c r="N12" s="414"/>
      <c r="O12" s="414"/>
      <c r="P12" s="414"/>
      <c r="Q12" s="414"/>
      <c r="R12" s="33">
        <v>1278000</v>
      </c>
      <c r="S12" s="34"/>
      <c r="T12" s="35"/>
      <c r="U12" s="35"/>
      <c r="V12" s="27">
        <v>116000</v>
      </c>
      <c r="W12" s="27"/>
      <c r="X12" s="185"/>
      <c r="Y12" s="129" t="s">
        <v>722</v>
      </c>
      <c r="Z12" s="66" t="s">
        <v>425</v>
      </c>
      <c r="AA12" s="128">
        <f t="shared" si="2"/>
        <v>0</v>
      </c>
      <c r="AD12" s="25"/>
      <c r="AI12" s="210">
        <f t="shared" si="0"/>
        <v>0</v>
      </c>
      <c r="AJ12" s="207" t="str">
        <f t="shared" si="1"/>
        <v>OK</v>
      </c>
    </row>
    <row r="13" spans="1:36" s="66" customFormat="1" ht="56.25" customHeight="1">
      <c r="A13" s="66">
        <v>8</v>
      </c>
      <c r="B13" s="89"/>
      <c r="C13" s="158"/>
      <c r="D13" s="50" t="s">
        <v>430</v>
      </c>
      <c r="E13" s="50" t="s">
        <v>689</v>
      </c>
      <c r="F13" s="33">
        <v>41200</v>
      </c>
      <c r="G13" s="414"/>
      <c r="H13" s="414"/>
      <c r="I13" s="414"/>
      <c r="J13" s="641"/>
      <c r="K13" s="653">
        <v>299156</v>
      </c>
      <c r="L13" s="132">
        <v>84669</v>
      </c>
      <c r="M13" s="414"/>
      <c r="N13" s="414"/>
      <c r="O13" s="414"/>
      <c r="P13" s="414"/>
      <c r="Q13" s="414"/>
      <c r="R13" s="33">
        <v>257374</v>
      </c>
      <c r="S13" s="34"/>
      <c r="T13" s="35"/>
      <c r="U13" s="35"/>
      <c r="V13" s="27">
        <v>299156</v>
      </c>
      <c r="W13" s="27"/>
      <c r="X13" s="27"/>
      <c r="Y13" s="142" t="s">
        <v>487</v>
      </c>
      <c r="Z13" s="66" t="s">
        <v>425</v>
      </c>
      <c r="AA13" s="128">
        <f t="shared" si="2"/>
        <v>0</v>
      </c>
      <c r="AI13" s="210">
        <f t="shared" si="0"/>
        <v>0</v>
      </c>
      <c r="AJ13" s="207" t="str">
        <f t="shared" si="1"/>
        <v>OK</v>
      </c>
    </row>
    <row r="14" spans="1:36" s="66" customFormat="1" ht="51.75" customHeight="1">
      <c r="A14" s="66">
        <v>9</v>
      </c>
      <c r="B14" s="89"/>
      <c r="C14" s="90" t="s">
        <v>440</v>
      </c>
      <c r="D14" s="56" t="s">
        <v>431</v>
      </c>
      <c r="E14" s="50" t="s">
        <v>441</v>
      </c>
      <c r="F14" s="33" t="s">
        <v>518</v>
      </c>
      <c r="G14" s="414"/>
      <c r="H14" s="414"/>
      <c r="I14" s="414"/>
      <c r="J14" s="641"/>
      <c r="K14" s="653">
        <v>8310</v>
      </c>
      <c r="L14" s="132" t="s">
        <v>518</v>
      </c>
      <c r="M14" s="414"/>
      <c r="N14" s="414"/>
      <c r="O14" s="414"/>
      <c r="P14" s="414"/>
      <c r="Q14" s="414"/>
      <c r="R14" s="33">
        <v>8310</v>
      </c>
      <c r="S14" s="34"/>
      <c r="T14" s="35"/>
      <c r="U14" s="35"/>
      <c r="V14" s="27">
        <v>8310</v>
      </c>
      <c r="W14" s="27"/>
      <c r="X14" s="27"/>
      <c r="Y14" s="142" t="s">
        <v>179</v>
      </c>
      <c r="Z14" s="66" t="s">
        <v>425</v>
      </c>
      <c r="AA14" s="128">
        <f t="shared" si="2"/>
        <v>0</v>
      </c>
      <c r="AG14" s="25"/>
      <c r="AI14" s="210">
        <f t="shared" si="0"/>
        <v>0</v>
      </c>
      <c r="AJ14" s="207" t="str">
        <f t="shared" si="1"/>
        <v>OK</v>
      </c>
    </row>
    <row r="15" spans="1:36" s="66" customFormat="1" ht="40.5" customHeight="1">
      <c r="A15" s="66">
        <v>10</v>
      </c>
      <c r="B15" s="89"/>
      <c r="C15" s="91"/>
      <c r="D15" s="50"/>
      <c r="E15" s="50" t="s">
        <v>432</v>
      </c>
      <c r="F15" s="33">
        <v>15405</v>
      </c>
      <c r="G15" s="414">
        <v>10269</v>
      </c>
      <c r="H15" s="414"/>
      <c r="I15" s="414"/>
      <c r="J15" s="641">
        <v>5136</v>
      </c>
      <c r="K15" s="653">
        <v>10000</v>
      </c>
      <c r="L15" s="132">
        <v>16777</v>
      </c>
      <c r="M15" s="414"/>
      <c r="N15" s="414"/>
      <c r="O15" s="414"/>
      <c r="P15" s="414"/>
      <c r="Q15" s="414"/>
      <c r="R15" s="33">
        <v>10000</v>
      </c>
      <c r="S15" s="34"/>
      <c r="T15" s="35"/>
      <c r="U15" s="35"/>
      <c r="V15" s="27">
        <v>10000</v>
      </c>
      <c r="W15" s="27"/>
      <c r="X15" s="27"/>
      <c r="Y15" s="142" t="s">
        <v>760</v>
      </c>
      <c r="Z15" s="66" t="s">
        <v>425</v>
      </c>
      <c r="AA15" s="128">
        <f t="shared" si="2"/>
        <v>0</v>
      </c>
      <c r="AG15" s="25"/>
      <c r="AI15" s="210">
        <f t="shared" si="0"/>
        <v>0</v>
      </c>
      <c r="AJ15" s="207" t="str">
        <f t="shared" si="1"/>
        <v>OK</v>
      </c>
    </row>
    <row r="16" spans="1:36" s="66" customFormat="1" ht="40.5" customHeight="1">
      <c r="A16" s="66">
        <v>11</v>
      </c>
      <c r="B16" s="89"/>
      <c r="C16" s="91"/>
      <c r="D16" s="50" t="s">
        <v>19</v>
      </c>
      <c r="E16" s="50"/>
      <c r="F16" s="33">
        <v>1869793</v>
      </c>
      <c r="G16" s="414"/>
      <c r="H16" s="414"/>
      <c r="I16" s="414"/>
      <c r="J16" s="641"/>
      <c r="K16" s="653">
        <v>1098000</v>
      </c>
      <c r="L16" s="132">
        <v>2014372</v>
      </c>
      <c r="M16" s="414"/>
      <c r="N16" s="414"/>
      <c r="O16" s="414"/>
      <c r="P16" s="414"/>
      <c r="Q16" s="414"/>
      <c r="R16" s="33">
        <v>953000</v>
      </c>
      <c r="S16" s="34"/>
      <c r="T16" s="35"/>
      <c r="U16" s="35"/>
      <c r="V16" s="27">
        <v>1098000</v>
      </c>
      <c r="W16" s="27"/>
      <c r="X16" s="27"/>
      <c r="Y16" s="142" t="s">
        <v>827</v>
      </c>
      <c r="Z16" s="66" t="s">
        <v>425</v>
      </c>
      <c r="AA16" s="128">
        <f t="shared" si="2"/>
        <v>0</v>
      </c>
      <c r="AG16" s="25"/>
      <c r="AI16" s="210">
        <f t="shared" si="0"/>
        <v>0</v>
      </c>
      <c r="AJ16" s="207" t="str">
        <f t="shared" si="1"/>
        <v>OK</v>
      </c>
    </row>
    <row r="17" spans="1:36" s="66" customFormat="1" ht="40.5" customHeight="1">
      <c r="A17" s="66">
        <v>12</v>
      </c>
      <c r="B17" s="89"/>
      <c r="C17" s="91"/>
      <c r="D17" s="50" t="s">
        <v>470</v>
      </c>
      <c r="E17" s="50" t="s">
        <v>300</v>
      </c>
      <c r="F17" s="33" t="s">
        <v>442</v>
      </c>
      <c r="G17" s="414"/>
      <c r="H17" s="414"/>
      <c r="I17" s="414"/>
      <c r="J17" s="641"/>
      <c r="K17" s="653">
        <v>500000</v>
      </c>
      <c r="L17" s="132" t="s">
        <v>442</v>
      </c>
      <c r="M17" s="414"/>
      <c r="N17" s="414"/>
      <c r="O17" s="414"/>
      <c r="P17" s="414"/>
      <c r="Q17" s="414"/>
      <c r="R17" s="33">
        <v>500000</v>
      </c>
      <c r="S17" s="34"/>
      <c r="T17" s="35"/>
      <c r="U17" s="35"/>
      <c r="V17" s="27">
        <v>500000</v>
      </c>
      <c r="W17" s="27"/>
      <c r="X17" s="27"/>
      <c r="Y17" s="142" t="s">
        <v>239</v>
      </c>
      <c r="Z17" s="66" t="s">
        <v>425</v>
      </c>
      <c r="AA17" s="128">
        <f t="shared" si="2"/>
        <v>0</v>
      </c>
      <c r="AG17" s="25"/>
      <c r="AI17" s="210">
        <f t="shared" si="0"/>
        <v>0</v>
      </c>
      <c r="AJ17" s="207" t="str">
        <f t="shared" si="1"/>
        <v>OK</v>
      </c>
    </row>
    <row r="18" spans="1:36" s="66" customFormat="1" ht="40.5" customHeight="1">
      <c r="A18" s="66">
        <v>13</v>
      </c>
      <c r="B18" s="89"/>
      <c r="C18" s="93" t="s">
        <v>471</v>
      </c>
      <c r="D18" s="50" t="s">
        <v>471</v>
      </c>
      <c r="E18" s="50" t="s">
        <v>477</v>
      </c>
      <c r="F18" s="33">
        <v>6875</v>
      </c>
      <c r="G18" s="414">
        <v>5052</v>
      </c>
      <c r="H18" s="414"/>
      <c r="I18" s="414"/>
      <c r="J18" s="641">
        <v>1823</v>
      </c>
      <c r="K18" s="653">
        <v>2500</v>
      </c>
      <c r="L18" s="132">
        <v>4668</v>
      </c>
      <c r="M18" s="414"/>
      <c r="N18" s="414"/>
      <c r="O18" s="414"/>
      <c r="P18" s="414"/>
      <c r="Q18" s="414"/>
      <c r="R18" s="33">
        <v>2500</v>
      </c>
      <c r="S18" s="34"/>
      <c r="T18" s="35"/>
      <c r="U18" s="35"/>
      <c r="V18" s="27">
        <v>2500</v>
      </c>
      <c r="W18" s="27"/>
      <c r="X18" s="27"/>
      <c r="Y18" s="142" t="s">
        <v>760</v>
      </c>
      <c r="Z18" s="66" t="s">
        <v>425</v>
      </c>
      <c r="AA18" s="128">
        <f t="shared" si="2"/>
        <v>0</v>
      </c>
      <c r="AG18" s="25"/>
      <c r="AI18" s="210">
        <f t="shared" si="0"/>
        <v>0</v>
      </c>
      <c r="AJ18" s="207" t="str">
        <f t="shared" si="1"/>
        <v>OK</v>
      </c>
    </row>
    <row r="19" spans="1:36" s="66" customFormat="1" ht="51" customHeight="1">
      <c r="A19" s="66">
        <v>14</v>
      </c>
      <c r="B19" s="89"/>
      <c r="C19" s="93" t="s">
        <v>463</v>
      </c>
      <c r="D19" s="50" t="s">
        <v>696</v>
      </c>
      <c r="E19" s="50" t="s">
        <v>300</v>
      </c>
      <c r="F19" s="33" t="s">
        <v>442</v>
      </c>
      <c r="G19" s="414"/>
      <c r="H19" s="414"/>
      <c r="I19" s="414"/>
      <c r="J19" s="641"/>
      <c r="K19" s="653">
        <v>604826</v>
      </c>
      <c r="L19" s="132" t="s">
        <v>759</v>
      </c>
      <c r="M19" s="414"/>
      <c r="N19" s="414"/>
      <c r="O19" s="414"/>
      <c r="P19" s="414"/>
      <c r="Q19" s="414"/>
      <c r="R19" s="33">
        <v>843186</v>
      </c>
      <c r="S19" s="34"/>
      <c r="T19" s="35"/>
      <c r="U19" s="35"/>
      <c r="V19" s="27">
        <v>604826</v>
      </c>
      <c r="W19" s="27"/>
      <c r="X19" s="27"/>
      <c r="Y19" s="142"/>
      <c r="Z19" s="66" t="s">
        <v>425</v>
      </c>
      <c r="AA19" s="128">
        <f>K19-S19-T19-U19-V19</f>
        <v>0</v>
      </c>
      <c r="AG19" s="25"/>
      <c r="AI19" s="210">
        <f t="shared" si="0"/>
        <v>0</v>
      </c>
      <c r="AJ19" s="207" t="str">
        <f t="shared" si="1"/>
        <v>OK</v>
      </c>
    </row>
    <row r="20" spans="1:36" s="66" customFormat="1" ht="62.25" customHeight="1">
      <c r="A20" s="66">
        <v>15</v>
      </c>
      <c r="B20" s="89"/>
      <c r="C20" s="91" t="s">
        <v>680</v>
      </c>
      <c r="D20" s="56" t="s">
        <v>479</v>
      </c>
      <c r="E20" s="56" t="s">
        <v>480</v>
      </c>
      <c r="F20" s="42">
        <v>681062</v>
      </c>
      <c r="G20" s="418">
        <v>340481</v>
      </c>
      <c r="H20" s="418"/>
      <c r="I20" s="418"/>
      <c r="J20" s="643">
        <v>340581</v>
      </c>
      <c r="K20" s="655">
        <v>50000</v>
      </c>
      <c r="L20" s="133">
        <v>628533</v>
      </c>
      <c r="M20" s="418"/>
      <c r="N20" s="418"/>
      <c r="O20" s="418"/>
      <c r="P20" s="418"/>
      <c r="Q20" s="418"/>
      <c r="R20" s="42">
        <v>50000</v>
      </c>
      <c r="S20" s="43"/>
      <c r="T20" s="44"/>
      <c r="U20" s="44"/>
      <c r="V20" s="45">
        <v>50000</v>
      </c>
      <c r="W20" s="45"/>
      <c r="X20" s="45"/>
      <c r="Y20" s="143" t="s">
        <v>659</v>
      </c>
      <c r="Z20" s="66" t="s">
        <v>425</v>
      </c>
      <c r="AA20" s="128">
        <f t="shared" si="2"/>
        <v>0</v>
      </c>
      <c r="AC20" s="25"/>
      <c r="AI20" s="210">
        <f t="shared" si="0"/>
        <v>0</v>
      </c>
      <c r="AJ20" s="207" t="str">
        <f t="shared" si="1"/>
        <v>OK</v>
      </c>
    </row>
    <row r="21" spans="1:36" s="66" customFormat="1" ht="54.75" customHeight="1">
      <c r="A21" s="66">
        <v>16</v>
      </c>
      <c r="B21" s="89"/>
      <c r="C21" s="152"/>
      <c r="D21" s="38" t="s">
        <v>22</v>
      </c>
      <c r="E21" s="38" t="s">
        <v>426</v>
      </c>
      <c r="F21" s="26">
        <v>3356098</v>
      </c>
      <c r="G21" s="416"/>
      <c r="H21" s="416">
        <v>203080</v>
      </c>
      <c r="I21" s="416"/>
      <c r="J21" s="644">
        <v>3153018</v>
      </c>
      <c r="K21" s="656">
        <v>5715000</v>
      </c>
      <c r="L21" s="131">
        <v>3144492</v>
      </c>
      <c r="M21" s="416"/>
      <c r="N21" s="416"/>
      <c r="O21" s="416"/>
      <c r="P21" s="416"/>
      <c r="Q21" s="416"/>
      <c r="R21" s="26">
        <v>6337000</v>
      </c>
      <c r="S21" s="47"/>
      <c r="T21" s="48"/>
      <c r="U21" s="48"/>
      <c r="V21" s="49">
        <v>5715000</v>
      </c>
      <c r="W21" s="49"/>
      <c r="X21" s="49"/>
      <c r="Y21" s="129" t="s">
        <v>496</v>
      </c>
      <c r="Z21" s="66" t="s">
        <v>425</v>
      </c>
      <c r="AA21" s="128">
        <f t="shared" si="2"/>
        <v>0</v>
      </c>
      <c r="AC21" s="25"/>
      <c r="AI21" s="210">
        <f t="shared" si="0"/>
        <v>0</v>
      </c>
      <c r="AJ21" s="207" t="str">
        <f t="shared" si="1"/>
        <v>OK</v>
      </c>
    </row>
    <row r="22" spans="1:36" s="66" customFormat="1" ht="54.75" customHeight="1" thickBot="1">
      <c r="A22" s="66">
        <v>17</v>
      </c>
      <c r="B22" s="89"/>
      <c r="C22" s="91" t="s">
        <v>697</v>
      </c>
      <c r="D22" s="38" t="s">
        <v>825</v>
      </c>
      <c r="E22" s="38"/>
      <c r="F22" s="26">
        <v>1021466</v>
      </c>
      <c r="G22" s="416"/>
      <c r="H22" s="416"/>
      <c r="I22" s="416"/>
      <c r="J22" s="644">
        <v>1021466</v>
      </c>
      <c r="K22" s="656">
        <v>33000</v>
      </c>
      <c r="L22" s="131">
        <v>1014386</v>
      </c>
      <c r="M22" s="416"/>
      <c r="N22" s="416"/>
      <c r="O22" s="416"/>
      <c r="P22" s="416"/>
      <c r="Q22" s="416"/>
      <c r="R22" s="26">
        <v>34000</v>
      </c>
      <c r="S22" s="119"/>
      <c r="T22" s="48"/>
      <c r="U22" s="48"/>
      <c r="V22" s="49">
        <v>33000</v>
      </c>
      <c r="W22" s="49"/>
      <c r="X22" s="49"/>
      <c r="Y22" s="129" t="s">
        <v>826</v>
      </c>
      <c r="Z22" s="66" t="s">
        <v>425</v>
      </c>
      <c r="AA22" s="128">
        <f t="shared" si="2"/>
        <v>0</v>
      </c>
      <c r="AC22" s="25"/>
      <c r="AI22" s="210">
        <f t="shared" si="0"/>
        <v>0</v>
      </c>
      <c r="AJ22" s="207" t="str">
        <f t="shared" si="1"/>
        <v>OK</v>
      </c>
    </row>
    <row r="23" spans="2:36" s="127" customFormat="1" ht="30" customHeight="1" thickBot="1">
      <c r="B23" s="167"/>
      <c r="C23" s="69"/>
      <c r="D23" s="57"/>
      <c r="E23" s="57" t="s">
        <v>403</v>
      </c>
      <c r="F23" s="175">
        <f>SUM(F9:F22)</f>
        <v>14184866</v>
      </c>
      <c r="G23" s="412">
        <f aca="true" t="shared" si="5" ref="G23:V23">SUM(G9:G22)</f>
        <v>368349</v>
      </c>
      <c r="H23" s="412">
        <f t="shared" si="5"/>
        <v>203080</v>
      </c>
      <c r="I23" s="412">
        <f t="shared" si="5"/>
        <v>0</v>
      </c>
      <c r="J23" s="642">
        <f t="shared" si="5"/>
        <v>11702444</v>
      </c>
      <c r="K23" s="654">
        <f t="shared" si="5"/>
        <v>8531687</v>
      </c>
      <c r="L23" s="649">
        <f t="shared" si="5"/>
        <v>13682299</v>
      </c>
      <c r="M23" s="412">
        <f t="shared" si="5"/>
        <v>0</v>
      </c>
      <c r="N23" s="412">
        <f t="shared" si="5"/>
        <v>0</v>
      </c>
      <c r="O23" s="412">
        <f t="shared" si="5"/>
        <v>0</v>
      </c>
      <c r="P23" s="412">
        <f t="shared" si="5"/>
        <v>0</v>
      </c>
      <c r="Q23" s="412">
        <f t="shared" si="5"/>
        <v>0</v>
      </c>
      <c r="R23" s="175">
        <f t="shared" si="5"/>
        <v>10379382</v>
      </c>
      <c r="S23" s="630">
        <f t="shared" si="5"/>
        <v>0</v>
      </c>
      <c r="T23" s="170">
        <f t="shared" si="5"/>
        <v>0</v>
      </c>
      <c r="U23" s="170">
        <f t="shared" si="5"/>
        <v>0</v>
      </c>
      <c r="V23" s="400">
        <f t="shared" si="5"/>
        <v>8531687</v>
      </c>
      <c r="W23" s="632"/>
      <c r="X23" s="171"/>
      <c r="Y23" s="171"/>
      <c r="AA23" s="128">
        <f t="shared" si="2"/>
        <v>0</v>
      </c>
      <c r="AC23" s="175">
        <f aca="true" t="shared" si="6" ref="AC23:AH23">SUM(AC22)</f>
        <v>0</v>
      </c>
      <c r="AD23" s="175">
        <f t="shared" si="6"/>
        <v>0</v>
      </c>
      <c r="AE23" s="175">
        <f t="shared" si="6"/>
        <v>0</v>
      </c>
      <c r="AF23" s="175">
        <f t="shared" si="6"/>
        <v>0</v>
      </c>
      <c r="AG23" s="175">
        <f t="shared" si="6"/>
        <v>0</v>
      </c>
      <c r="AH23" s="175">
        <f t="shared" si="6"/>
        <v>0</v>
      </c>
      <c r="AI23" s="210">
        <f t="shared" si="0"/>
        <v>0</v>
      </c>
      <c r="AJ23" s="207" t="str">
        <f t="shared" si="1"/>
        <v>OK</v>
      </c>
    </row>
    <row r="24" spans="1:36" s="66" customFormat="1" ht="39" customHeight="1">
      <c r="A24" s="66">
        <v>18</v>
      </c>
      <c r="B24" s="89" t="s">
        <v>231</v>
      </c>
      <c r="C24" s="91" t="s">
        <v>180</v>
      </c>
      <c r="D24" s="50" t="s">
        <v>181</v>
      </c>
      <c r="E24" s="50"/>
      <c r="F24" s="33">
        <v>283488</v>
      </c>
      <c r="G24" s="414"/>
      <c r="H24" s="414"/>
      <c r="I24" s="414"/>
      <c r="J24" s="641">
        <v>283488</v>
      </c>
      <c r="K24" s="653">
        <v>164747</v>
      </c>
      <c r="L24" s="132"/>
      <c r="M24" s="414"/>
      <c r="N24" s="414"/>
      <c r="O24" s="414"/>
      <c r="P24" s="414"/>
      <c r="Q24" s="414"/>
      <c r="R24" s="33"/>
      <c r="S24" s="34"/>
      <c r="T24" s="35"/>
      <c r="U24" s="35"/>
      <c r="V24" s="27">
        <v>164747</v>
      </c>
      <c r="W24" s="27"/>
      <c r="X24" s="27"/>
      <c r="Y24" s="142" t="s">
        <v>251</v>
      </c>
      <c r="Z24" s="66" t="s">
        <v>425</v>
      </c>
      <c r="AA24" s="128">
        <f t="shared" si="2"/>
        <v>0</v>
      </c>
      <c r="AI24" s="210"/>
      <c r="AJ24" s="207"/>
    </row>
    <row r="25" spans="1:37" s="66" customFormat="1" ht="106.5" customHeight="1">
      <c r="A25" s="66">
        <v>19</v>
      </c>
      <c r="B25" s="89"/>
      <c r="C25" s="90" t="s">
        <v>675</v>
      </c>
      <c r="D25" s="50" t="s">
        <v>537</v>
      </c>
      <c r="E25" s="50" t="s">
        <v>538</v>
      </c>
      <c r="F25" s="33" t="s">
        <v>442</v>
      </c>
      <c r="G25" s="414"/>
      <c r="H25" s="414"/>
      <c r="I25" s="414"/>
      <c r="J25" s="641"/>
      <c r="K25" s="653">
        <v>95911</v>
      </c>
      <c r="L25" s="132" t="s">
        <v>442</v>
      </c>
      <c r="M25" s="414"/>
      <c r="N25" s="414"/>
      <c r="O25" s="414"/>
      <c r="P25" s="414"/>
      <c r="Q25" s="414"/>
      <c r="R25" s="33">
        <v>418117</v>
      </c>
      <c r="S25" s="34"/>
      <c r="T25" s="48">
        <v>95911</v>
      </c>
      <c r="U25" s="48"/>
      <c r="V25" s="27"/>
      <c r="W25" s="27"/>
      <c r="X25" s="27"/>
      <c r="Y25" s="142" t="s">
        <v>539</v>
      </c>
      <c r="Z25" s="66" t="s">
        <v>425</v>
      </c>
      <c r="AA25" s="128">
        <f t="shared" si="2"/>
        <v>0</v>
      </c>
      <c r="AG25" s="613">
        <v>95911</v>
      </c>
      <c r="AI25" s="210">
        <f>SUM(AC25:AH25)</f>
        <v>95911</v>
      </c>
      <c r="AJ25" s="207" t="str">
        <f>IF(T25=AI25,"OK","OUT")</f>
        <v>OK</v>
      </c>
      <c r="AK25" s="613">
        <v>95911</v>
      </c>
    </row>
    <row r="26" spans="1:36" s="66" customFormat="1" ht="54" customHeight="1">
      <c r="A26" s="66">
        <v>20</v>
      </c>
      <c r="B26" s="89"/>
      <c r="C26" s="91"/>
      <c r="D26" s="50" t="s">
        <v>504</v>
      </c>
      <c r="E26" s="50" t="s">
        <v>829</v>
      </c>
      <c r="F26" s="33">
        <v>4758</v>
      </c>
      <c r="G26" s="414"/>
      <c r="H26" s="414"/>
      <c r="I26" s="414"/>
      <c r="J26" s="641">
        <v>4758</v>
      </c>
      <c r="K26" s="653">
        <v>10000</v>
      </c>
      <c r="L26" s="132">
        <v>5059</v>
      </c>
      <c r="M26" s="414"/>
      <c r="N26" s="414"/>
      <c r="O26" s="414"/>
      <c r="P26" s="414"/>
      <c r="Q26" s="414"/>
      <c r="R26" s="33">
        <v>10000</v>
      </c>
      <c r="S26" s="34"/>
      <c r="T26" s="35"/>
      <c r="U26" s="35"/>
      <c r="V26" s="27">
        <v>10000</v>
      </c>
      <c r="W26" s="27"/>
      <c r="X26" s="27"/>
      <c r="Y26" s="142" t="s">
        <v>242</v>
      </c>
      <c r="Z26" s="66" t="s">
        <v>425</v>
      </c>
      <c r="AA26" s="128">
        <f t="shared" si="2"/>
        <v>0</v>
      </c>
      <c r="AI26" s="210">
        <f>SUM(AC26:AH26)</f>
        <v>0</v>
      </c>
      <c r="AJ26" s="207" t="str">
        <f>IF(T26=AI26,"OK","OUT")</f>
        <v>OK</v>
      </c>
    </row>
    <row r="27" spans="1:36" s="66" customFormat="1" ht="41.25" customHeight="1">
      <c r="A27" s="66">
        <v>21</v>
      </c>
      <c r="B27" s="89"/>
      <c r="C27" s="92"/>
      <c r="D27" s="50" t="s">
        <v>761</v>
      </c>
      <c r="E27" s="50" t="s">
        <v>97</v>
      </c>
      <c r="F27" s="33" t="s">
        <v>518</v>
      </c>
      <c r="G27" s="414"/>
      <c r="H27" s="414"/>
      <c r="I27" s="414"/>
      <c r="J27" s="641"/>
      <c r="K27" s="653">
        <v>4708</v>
      </c>
      <c r="L27" s="132">
        <v>4708</v>
      </c>
      <c r="M27" s="414"/>
      <c r="N27" s="414"/>
      <c r="O27" s="414"/>
      <c r="P27" s="414"/>
      <c r="Q27" s="414"/>
      <c r="R27" s="33">
        <v>5000</v>
      </c>
      <c r="S27" s="34"/>
      <c r="T27" s="35"/>
      <c r="U27" s="35"/>
      <c r="V27" s="27">
        <v>4708</v>
      </c>
      <c r="W27" s="27"/>
      <c r="X27" s="27"/>
      <c r="Y27" s="142" t="s">
        <v>98</v>
      </c>
      <c r="Z27" s="66" t="s">
        <v>425</v>
      </c>
      <c r="AA27" s="128">
        <f t="shared" si="2"/>
        <v>0</v>
      </c>
      <c r="AI27" s="210">
        <f>SUM(AC27:AH27)</f>
        <v>0</v>
      </c>
      <c r="AJ27" s="207" t="str">
        <f>IF(T27=AI27,"OK","OUT")</f>
        <v>OK</v>
      </c>
    </row>
    <row r="28" spans="1:36" s="66" customFormat="1" ht="58.5" customHeight="1">
      <c r="A28" s="66">
        <v>22</v>
      </c>
      <c r="B28" s="89"/>
      <c r="C28" s="90" t="s">
        <v>183</v>
      </c>
      <c r="D28" s="50" t="s">
        <v>184</v>
      </c>
      <c r="E28" s="50"/>
      <c r="F28" s="33">
        <v>3573794</v>
      </c>
      <c r="G28" s="414"/>
      <c r="H28" s="414"/>
      <c r="I28" s="414"/>
      <c r="J28" s="641">
        <v>3573794</v>
      </c>
      <c r="K28" s="653">
        <v>75001</v>
      </c>
      <c r="L28" s="132"/>
      <c r="M28" s="414"/>
      <c r="N28" s="414"/>
      <c r="O28" s="414"/>
      <c r="P28" s="414"/>
      <c r="Q28" s="414"/>
      <c r="R28" s="33"/>
      <c r="S28" s="34"/>
      <c r="T28" s="35"/>
      <c r="U28" s="35"/>
      <c r="V28" s="27">
        <v>75001</v>
      </c>
      <c r="W28" s="27"/>
      <c r="X28" s="27"/>
      <c r="Y28" s="142" t="s">
        <v>185</v>
      </c>
      <c r="Z28" s="66" t="s">
        <v>425</v>
      </c>
      <c r="AA28" s="128">
        <f t="shared" si="2"/>
        <v>0</v>
      </c>
      <c r="AI28" s="210"/>
      <c r="AJ28" s="207"/>
    </row>
    <row r="29" spans="1:36" s="66" customFormat="1" ht="42.75" customHeight="1">
      <c r="A29" s="66">
        <v>23</v>
      </c>
      <c r="B29" s="89"/>
      <c r="C29" s="90" t="s">
        <v>419</v>
      </c>
      <c r="D29" s="50" t="s">
        <v>794</v>
      </c>
      <c r="E29" s="50" t="s">
        <v>90</v>
      </c>
      <c r="F29" s="33">
        <v>68538</v>
      </c>
      <c r="G29" s="414"/>
      <c r="H29" s="414">
        <v>22404</v>
      </c>
      <c r="I29" s="414"/>
      <c r="J29" s="641">
        <v>46134</v>
      </c>
      <c r="K29" s="653">
        <v>22730</v>
      </c>
      <c r="L29" s="132">
        <v>45460</v>
      </c>
      <c r="M29" s="414"/>
      <c r="N29" s="414"/>
      <c r="O29" s="414"/>
      <c r="P29" s="414"/>
      <c r="Q29" s="414"/>
      <c r="R29" s="33">
        <v>22730</v>
      </c>
      <c r="S29" s="34"/>
      <c r="T29" s="35"/>
      <c r="U29" s="35"/>
      <c r="V29" s="27">
        <v>22730</v>
      </c>
      <c r="W29" s="27"/>
      <c r="X29" s="27"/>
      <c r="Y29" s="142" t="s">
        <v>830</v>
      </c>
      <c r="Z29" s="66" t="s">
        <v>425</v>
      </c>
      <c r="AA29" s="128">
        <f t="shared" si="2"/>
        <v>0</v>
      </c>
      <c r="AG29" s="62"/>
      <c r="AI29" s="210">
        <f>SUM(AC29:AH29)</f>
        <v>0</v>
      </c>
      <c r="AJ29" s="207" t="str">
        <f>IF(T29=AI29,"OK","OUT")</f>
        <v>OK</v>
      </c>
    </row>
    <row r="30" spans="1:36" s="66" customFormat="1" ht="38.25" customHeight="1">
      <c r="A30" s="66">
        <v>24</v>
      </c>
      <c r="B30" s="89"/>
      <c r="C30" s="90" t="s">
        <v>419</v>
      </c>
      <c r="D30" s="51" t="s">
        <v>420</v>
      </c>
      <c r="E30" s="50" t="s">
        <v>505</v>
      </c>
      <c r="F30" s="33" t="s">
        <v>442</v>
      </c>
      <c r="G30" s="414"/>
      <c r="H30" s="414"/>
      <c r="I30" s="414"/>
      <c r="J30" s="641"/>
      <c r="K30" s="653">
        <v>50000</v>
      </c>
      <c r="L30" s="132" t="s">
        <v>442</v>
      </c>
      <c r="M30" s="414"/>
      <c r="N30" s="414"/>
      <c r="O30" s="414"/>
      <c r="P30" s="414"/>
      <c r="Q30" s="414"/>
      <c r="R30" s="33">
        <v>50000</v>
      </c>
      <c r="S30" s="34"/>
      <c r="T30" s="35"/>
      <c r="U30" s="35"/>
      <c r="V30" s="27">
        <v>50000</v>
      </c>
      <c r="W30" s="27"/>
      <c r="X30" s="27"/>
      <c r="Y30" s="142" t="s">
        <v>255</v>
      </c>
      <c r="Z30" s="66" t="s">
        <v>425</v>
      </c>
      <c r="AA30" s="128">
        <f t="shared" si="2"/>
        <v>0</v>
      </c>
      <c r="AC30" s="25"/>
      <c r="AI30" s="210">
        <f>SUM(AC30:AH30)</f>
        <v>0</v>
      </c>
      <c r="AJ30" s="207" t="str">
        <f>IF(T30=AI30,"OK","OUT")</f>
        <v>OK</v>
      </c>
    </row>
    <row r="31" spans="1:36" s="66" customFormat="1" ht="38.25" customHeight="1">
      <c r="A31" s="66">
        <v>25</v>
      </c>
      <c r="B31" s="89"/>
      <c r="C31" s="152"/>
      <c r="D31" s="50"/>
      <c r="E31" s="38" t="s">
        <v>511</v>
      </c>
      <c r="F31" s="26">
        <v>727</v>
      </c>
      <c r="G31" s="416">
        <v>242</v>
      </c>
      <c r="H31" s="416"/>
      <c r="I31" s="416"/>
      <c r="J31" s="644">
        <v>485</v>
      </c>
      <c r="K31" s="656">
        <v>9263</v>
      </c>
      <c r="L31" s="131">
        <v>774</v>
      </c>
      <c r="M31" s="416"/>
      <c r="N31" s="416"/>
      <c r="O31" s="416"/>
      <c r="P31" s="416"/>
      <c r="Q31" s="416"/>
      <c r="R31" s="26">
        <v>9263</v>
      </c>
      <c r="S31" s="47"/>
      <c r="T31" s="47"/>
      <c r="U31" s="47"/>
      <c r="V31" s="49">
        <v>9263</v>
      </c>
      <c r="W31" s="49"/>
      <c r="X31" s="49"/>
      <c r="Y31" s="129" t="s">
        <v>427</v>
      </c>
      <c r="Z31" s="66" t="s">
        <v>425</v>
      </c>
      <c r="AA31" s="128">
        <f t="shared" si="2"/>
        <v>0</v>
      </c>
      <c r="AC31" s="25"/>
      <c r="AI31" s="210">
        <f>SUM(AC31:AH31)</f>
        <v>0</v>
      </c>
      <c r="AJ31" s="207" t="str">
        <f>IF(T31=AI31,"OK","OUT")</f>
        <v>OK</v>
      </c>
    </row>
    <row r="32" spans="1:36" s="66" customFormat="1" ht="38.25" customHeight="1" thickBot="1">
      <c r="A32" s="66">
        <v>26</v>
      </c>
      <c r="B32" s="89"/>
      <c r="C32" s="90" t="s">
        <v>186</v>
      </c>
      <c r="D32" s="56" t="s">
        <v>187</v>
      </c>
      <c r="E32" s="56" t="s">
        <v>188</v>
      </c>
      <c r="F32" s="42" t="s">
        <v>518</v>
      </c>
      <c r="G32" s="418"/>
      <c r="H32" s="418"/>
      <c r="I32" s="418"/>
      <c r="J32" s="643"/>
      <c r="K32" s="655">
        <v>21552</v>
      </c>
      <c r="L32" s="133"/>
      <c r="M32" s="418"/>
      <c r="N32" s="418"/>
      <c r="O32" s="418"/>
      <c r="P32" s="418"/>
      <c r="Q32" s="418"/>
      <c r="R32" s="42"/>
      <c r="S32" s="43"/>
      <c r="T32" s="43"/>
      <c r="U32" s="43"/>
      <c r="V32" s="45">
        <v>21552</v>
      </c>
      <c r="W32" s="45"/>
      <c r="X32" s="45"/>
      <c r="Y32" s="143" t="s">
        <v>254</v>
      </c>
      <c r="Z32" s="66" t="s">
        <v>425</v>
      </c>
      <c r="AA32" s="128">
        <f t="shared" si="2"/>
        <v>0</v>
      </c>
      <c r="AC32" s="25"/>
      <c r="AI32" s="210"/>
      <c r="AJ32" s="207"/>
    </row>
    <row r="33" spans="2:36" s="127" customFormat="1" ht="30" customHeight="1" thickBot="1">
      <c r="B33" s="167"/>
      <c r="C33" s="69"/>
      <c r="D33" s="57"/>
      <c r="E33" s="57" t="s">
        <v>403</v>
      </c>
      <c r="F33" s="175">
        <f>SUM(F24:F32)</f>
        <v>3931305</v>
      </c>
      <c r="G33" s="412">
        <f aca="true" t="shared" si="7" ref="G33:V33">SUM(G24:G32)</f>
        <v>242</v>
      </c>
      <c r="H33" s="412">
        <f t="shared" si="7"/>
        <v>22404</v>
      </c>
      <c r="I33" s="412">
        <f t="shared" si="7"/>
        <v>0</v>
      </c>
      <c r="J33" s="642">
        <f t="shared" si="7"/>
        <v>3908659</v>
      </c>
      <c r="K33" s="654">
        <f t="shared" si="7"/>
        <v>453912</v>
      </c>
      <c r="L33" s="649">
        <f t="shared" si="7"/>
        <v>56001</v>
      </c>
      <c r="M33" s="412">
        <f t="shared" si="7"/>
        <v>0</v>
      </c>
      <c r="N33" s="412">
        <f t="shared" si="7"/>
        <v>0</v>
      </c>
      <c r="O33" s="412">
        <f t="shared" si="7"/>
        <v>0</v>
      </c>
      <c r="P33" s="412">
        <f t="shared" si="7"/>
        <v>0</v>
      </c>
      <c r="Q33" s="412">
        <f t="shared" si="7"/>
        <v>0</v>
      </c>
      <c r="R33" s="175">
        <f t="shared" si="7"/>
        <v>515110</v>
      </c>
      <c r="S33" s="630">
        <f t="shared" si="7"/>
        <v>0</v>
      </c>
      <c r="T33" s="170">
        <f t="shared" si="7"/>
        <v>95911</v>
      </c>
      <c r="U33" s="170">
        <f t="shared" si="7"/>
        <v>0</v>
      </c>
      <c r="V33" s="400">
        <f t="shared" si="7"/>
        <v>358001</v>
      </c>
      <c r="W33" s="632"/>
      <c r="X33" s="171"/>
      <c r="Y33" s="171"/>
      <c r="AA33" s="128">
        <f t="shared" si="2"/>
        <v>0</v>
      </c>
      <c r="AC33" s="175">
        <f aca="true" t="shared" si="8" ref="AC33:AH33">SUM(AC32)</f>
        <v>0</v>
      </c>
      <c r="AD33" s="175">
        <f t="shared" si="8"/>
        <v>0</v>
      </c>
      <c r="AE33" s="175">
        <f t="shared" si="8"/>
        <v>0</v>
      </c>
      <c r="AF33" s="175">
        <f t="shared" si="8"/>
        <v>0</v>
      </c>
      <c r="AG33" s="175">
        <f t="shared" si="8"/>
        <v>0</v>
      </c>
      <c r="AH33" s="175">
        <f t="shared" si="8"/>
        <v>0</v>
      </c>
      <c r="AI33" s="210">
        <f aca="true" t="shared" si="9" ref="AI33:AI61">SUM(AC33:AH33)</f>
        <v>0</v>
      </c>
      <c r="AJ33" s="207" t="str">
        <f aca="true" t="shared" si="10" ref="AJ33:AJ62">IF(T33=AI33,"OK","OUT")</f>
        <v>OUT</v>
      </c>
    </row>
    <row r="34" spans="1:36" s="66" customFormat="1" ht="50.25" customHeight="1">
      <c r="A34" s="66">
        <v>27</v>
      </c>
      <c r="B34" s="151" t="s">
        <v>196</v>
      </c>
      <c r="C34" s="91" t="s">
        <v>229</v>
      </c>
      <c r="D34" s="51" t="s">
        <v>228</v>
      </c>
      <c r="E34" s="50" t="s">
        <v>91</v>
      </c>
      <c r="F34" s="33" t="s">
        <v>442</v>
      </c>
      <c r="G34" s="414"/>
      <c r="H34" s="414"/>
      <c r="I34" s="414"/>
      <c r="J34" s="641"/>
      <c r="K34" s="653">
        <v>2000</v>
      </c>
      <c r="L34" s="132" t="s">
        <v>442</v>
      </c>
      <c r="M34" s="414"/>
      <c r="N34" s="414"/>
      <c r="O34" s="414"/>
      <c r="P34" s="414"/>
      <c r="Q34" s="414"/>
      <c r="R34" s="33">
        <v>2000</v>
      </c>
      <c r="S34" s="34"/>
      <c r="T34" s="35"/>
      <c r="U34" s="35"/>
      <c r="V34" s="27">
        <v>2000</v>
      </c>
      <c r="W34" s="27"/>
      <c r="X34" s="27"/>
      <c r="Y34" s="142" t="s">
        <v>92</v>
      </c>
      <c r="Z34" s="66" t="s">
        <v>425</v>
      </c>
      <c r="AA34" s="128">
        <f t="shared" si="2"/>
        <v>0</v>
      </c>
      <c r="AG34" s="25"/>
      <c r="AH34" s="25"/>
      <c r="AI34" s="210">
        <f t="shared" si="9"/>
        <v>0</v>
      </c>
      <c r="AJ34" s="207" t="str">
        <f t="shared" si="10"/>
        <v>OK</v>
      </c>
    </row>
    <row r="35" spans="1:36" s="66" customFormat="1" ht="48" customHeight="1" thickBot="1">
      <c r="A35" s="66">
        <v>28</v>
      </c>
      <c r="B35" s="99"/>
      <c r="C35" s="93" t="s">
        <v>795</v>
      </c>
      <c r="D35" s="38" t="s">
        <v>796</v>
      </c>
      <c r="E35" s="38" t="s">
        <v>797</v>
      </c>
      <c r="F35" s="26" t="s">
        <v>442</v>
      </c>
      <c r="G35" s="416"/>
      <c r="H35" s="416"/>
      <c r="I35" s="416"/>
      <c r="J35" s="644"/>
      <c r="K35" s="656">
        <v>200000</v>
      </c>
      <c r="L35" s="131" t="s">
        <v>442</v>
      </c>
      <c r="M35" s="416"/>
      <c r="N35" s="416"/>
      <c r="O35" s="416"/>
      <c r="P35" s="416"/>
      <c r="Q35" s="416"/>
      <c r="R35" s="26">
        <v>200000</v>
      </c>
      <c r="S35" s="47"/>
      <c r="T35" s="48"/>
      <c r="U35" s="48"/>
      <c r="V35" s="49">
        <v>200000</v>
      </c>
      <c r="W35" s="49"/>
      <c r="X35" s="49"/>
      <c r="Y35" s="129" t="s">
        <v>837</v>
      </c>
      <c r="Z35" s="66" t="s">
        <v>425</v>
      </c>
      <c r="AA35" s="128">
        <f t="shared" si="2"/>
        <v>0</v>
      </c>
      <c r="AI35" s="210">
        <f t="shared" si="9"/>
        <v>0</v>
      </c>
      <c r="AJ35" s="207" t="str">
        <f t="shared" si="10"/>
        <v>OK</v>
      </c>
    </row>
    <row r="36" spans="2:36" s="127" customFormat="1" ht="30" customHeight="1" thickBot="1">
      <c r="B36" s="167"/>
      <c r="C36" s="69"/>
      <c r="D36" s="57"/>
      <c r="E36" s="57" t="s">
        <v>403</v>
      </c>
      <c r="F36" s="175">
        <f>SUM(F34:F35)</f>
        <v>0</v>
      </c>
      <c r="G36" s="412">
        <f aca="true" t="shared" si="11" ref="G36:V36">SUM(G34:G35)</f>
        <v>0</v>
      </c>
      <c r="H36" s="412">
        <f t="shared" si="11"/>
        <v>0</v>
      </c>
      <c r="I36" s="412">
        <f t="shared" si="11"/>
        <v>0</v>
      </c>
      <c r="J36" s="642">
        <f t="shared" si="11"/>
        <v>0</v>
      </c>
      <c r="K36" s="654">
        <f t="shared" si="11"/>
        <v>202000</v>
      </c>
      <c r="L36" s="649">
        <f t="shared" si="11"/>
        <v>0</v>
      </c>
      <c r="M36" s="412">
        <f t="shared" si="11"/>
        <v>0</v>
      </c>
      <c r="N36" s="412">
        <f t="shared" si="11"/>
        <v>0</v>
      </c>
      <c r="O36" s="412">
        <f t="shared" si="11"/>
        <v>0</v>
      </c>
      <c r="P36" s="412">
        <f t="shared" si="11"/>
        <v>0</v>
      </c>
      <c r="Q36" s="412">
        <f t="shared" si="11"/>
        <v>0</v>
      </c>
      <c r="R36" s="175">
        <f t="shared" si="11"/>
        <v>202000</v>
      </c>
      <c r="S36" s="630">
        <f t="shared" si="11"/>
        <v>0</v>
      </c>
      <c r="T36" s="170">
        <f t="shared" si="11"/>
        <v>0</v>
      </c>
      <c r="U36" s="170">
        <f t="shared" si="11"/>
        <v>0</v>
      </c>
      <c r="V36" s="400">
        <f t="shared" si="11"/>
        <v>202000</v>
      </c>
      <c r="W36" s="632"/>
      <c r="X36" s="171"/>
      <c r="Y36" s="171"/>
      <c r="AA36" s="128">
        <f t="shared" si="2"/>
        <v>0</v>
      </c>
      <c r="AC36" s="175">
        <f aca="true" t="shared" si="12" ref="AC36:AH36">SUM(AC35)</f>
        <v>0</v>
      </c>
      <c r="AD36" s="175">
        <f t="shared" si="12"/>
        <v>0</v>
      </c>
      <c r="AE36" s="175">
        <f t="shared" si="12"/>
        <v>0</v>
      </c>
      <c r="AF36" s="175">
        <f t="shared" si="12"/>
        <v>0</v>
      </c>
      <c r="AG36" s="175">
        <f t="shared" si="12"/>
        <v>0</v>
      </c>
      <c r="AH36" s="175">
        <f t="shared" si="12"/>
        <v>0</v>
      </c>
      <c r="AI36" s="210">
        <f t="shared" si="9"/>
        <v>0</v>
      </c>
      <c r="AJ36" s="207" t="str">
        <f t="shared" si="10"/>
        <v>OK</v>
      </c>
    </row>
    <row r="37" spans="1:36" s="66" customFormat="1" ht="55.5" customHeight="1">
      <c r="A37" s="66">
        <v>29</v>
      </c>
      <c r="B37" s="151" t="s">
        <v>406</v>
      </c>
      <c r="C37" s="98" t="s">
        <v>832</v>
      </c>
      <c r="D37" s="180" t="s">
        <v>833</v>
      </c>
      <c r="E37" s="180"/>
      <c r="F37" s="230">
        <v>120212</v>
      </c>
      <c r="G37" s="421">
        <v>21259</v>
      </c>
      <c r="H37" s="421">
        <v>11</v>
      </c>
      <c r="I37" s="421"/>
      <c r="J37" s="645">
        <v>98942</v>
      </c>
      <c r="K37" s="657">
        <v>21625</v>
      </c>
      <c r="L37" s="181">
        <v>127503</v>
      </c>
      <c r="M37" s="421"/>
      <c r="N37" s="421"/>
      <c r="O37" s="421"/>
      <c r="P37" s="421"/>
      <c r="Q37" s="421"/>
      <c r="R37" s="230">
        <v>14334</v>
      </c>
      <c r="S37" s="193"/>
      <c r="T37" s="206"/>
      <c r="U37" s="206"/>
      <c r="V37" s="194">
        <v>21625</v>
      </c>
      <c r="W37" s="194"/>
      <c r="X37" s="194"/>
      <c r="Y37" s="126" t="s">
        <v>190</v>
      </c>
      <c r="Z37" s="66" t="s">
        <v>425</v>
      </c>
      <c r="AA37" s="128">
        <f aca="true" t="shared" si="13" ref="AA37:AA61">K37-S37-T37-U37-V37</f>
        <v>0</v>
      </c>
      <c r="AC37" s="62"/>
      <c r="AD37" s="62"/>
      <c r="AE37" s="62"/>
      <c r="AF37" s="62"/>
      <c r="AG37" s="62"/>
      <c r="AH37" s="62"/>
      <c r="AI37" s="210">
        <f t="shared" si="9"/>
        <v>0</v>
      </c>
      <c r="AJ37" s="207" t="str">
        <f t="shared" si="10"/>
        <v>OK</v>
      </c>
    </row>
    <row r="38" spans="1:36" s="66" customFormat="1" ht="55.5" customHeight="1">
      <c r="A38" s="66">
        <v>30</v>
      </c>
      <c r="B38" s="434"/>
      <c r="C38" s="92"/>
      <c r="D38" s="50" t="s">
        <v>834</v>
      </c>
      <c r="E38" s="50"/>
      <c r="F38" s="33">
        <v>4548</v>
      </c>
      <c r="G38" s="414">
        <v>1232</v>
      </c>
      <c r="H38" s="414"/>
      <c r="I38" s="414"/>
      <c r="J38" s="641">
        <v>3316</v>
      </c>
      <c r="K38" s="653">
        <v>1000</v>
      </c>
      <c r="L38" s="132">
        <v>4916</v>
      </c>
      <c r="M38" s="414"/>
      <c r="N38" s="414"/>
      <c r="O38" s="414"/>
      <c r="P38" s="414"/>
      <c r="Q38" s="414"/>
      <c r="R38" s="33">
        <v>1000</v>
      </c>
      <c r="S38" s="34"/>
      <c r="T38" s="35"/>
      <c r="U38" s="35"/>
      <c r="V38" s="27">
        <v>1000</v>
      </c>
      <c r="W38" s="27"/>
      <c r="X38" s="27"/>
      <c r="Y38" s="142" t="s">
        <v>760</v>
      </c>
      <c r="Z38" s="66" t="s">
        <v>425</v>
      </c>
      <c r="AA38" s="128">
        <f t="shared" si="13"/>
        <v>0</v>
      </c>
      <c r="AC38" s="62"/>
      <c r="AD38" s="62"/>
      <c r="AE38" s="62"/>
      <c r="AF38" s="62"/>
      <c r="AG38" s="62"/>
      <c r="AH38" s="62"/>
      <c r="AI38" s="210">
        <f t="shared" si="9"/>
        <v>0</v>
      </c>
      <c r="AJ38" s="207" t="str">
        <f t="shared" si="10"/>
        <v>OK</v>
      </c>
    </row>
    <row r="39" spans="1:36" s="66" customFormat="1" ht="55.5" customHeight="1">
      <c r="A39" s="66">
        <v>31</v>
      </c>
      <c r="B39" s="434"/>
      <c r="C39" s="93" t="s">
        <v>473</v>
      </c>
      <c r="D39" s="50" t="s">
        <v>474</v>
      </c>
      <c r="E39" s="50" t="s">
        <v>475</v>
      </c>
      <c r="F39" s="33" t="s">
        <v>442</v>
      </c>
      <c r="G39" s="414"/>
      <c r="H39" s="414"/>
      <c r="I39" s="414"/>
      <c r="J39" s="414"/>
      <c r="K39" s="33">
        <v>10721</v>
      </c>
      <c r="L39" s="413"/>
      <c r="M39" s="414"/>
      <c r="N39" s="414"/>
      <c r="O39" s="414"/>
      <c r="P39" s="414"/>
      <c r="Q39" s="414"/>
      <c r="R39" s="33"/>
      <c r="S39" s="34"/>
      <c r="T39" s="35"/>
      <c r="U39" s="35"/>
      <c r="V39" s="27">
        <v>10721</v>
      </c>
      <c r="W39" s="118"/>
      <c r="X39" s="155"/>
      <c r="Y39" s="142" t="s">
        <v>476</v>
      </c>
      <c r="AA39" s="128"/>
      <c r="AC39" s="62"/>
      <c r="AD39" s="62"/>
      <c r="AE39" s="62"/>
      <c r="AF39" s="62"/>
      <c r="AG39" s="62"/>
      <c r="AH39" s="62"/>
      <c r="AI39" s="210"/>
      <c r="AJ39" s="207"/>
    </row>
    <row r="40" spans="1:36" s="66" customFormat="1" ht="42" customHeight="1" thickBot="1">
      <c r="A40" s="66">
        <v>32</v>
      </c>
      <c r="B40" s="99"/>
      <c r="C40" s="94" t="s">
        <v>764</v>
      </c>
      <c r="D40" s="38"/>
      <c r="E40" s="50" t="s">
        <v>765</v>
      </c>
      <c r="F40" s="33" t="s">
        <v>442</v>
      </c>
      <c r="G40" s="615"/>
      <c r="H40" s="616"/>
      <c r="I40" s="622"/>
      <c r="J40" s="646"/>
      <c r="K40" s="653">
        <v>6000</v>
      </c>
      <c r="L40" s="132" t="s">
        <v>442</v>
      </c>
      <c r="M40" s="425"/>
      <c r="N40" s="425"/>
      <c r="O40" s="425"/>
      <c r="P40" s="425"/>
      <c r="Q40" s="424">
        <f>L77-M77-N77-O77-P77</f>
        <v>0</v>
      </c>
      <c r="R40" s="33">
        <v>6000</v>
      </c>
      <c r="S40" s="34"/>
      <c r="T40" s="35"/>
      <c r="U40" s="35"/>
      <c r="V40" s="27">
        <v>6000</v>
      </c>
      <c r="W40" s="27"/>
      <c r="X40" s="27"/>
      <c r="Y40" s="142" t="s">
        <v>766</v>
      </c>
      <c r="Z40" s="66" t="s">
        <v>425</v>
      </c>
      <c r="AA40" s="128">
        <f t="shared" si="13"/>
        <v>0</v>
      </c>
      <c r="AC40" s="48"/>
      <c r="AD40" s="156"/>
      <c r="AE40" s="156"/>
      <c r="AF40" s="156"/>
      <c r="AG40" s="156"/>
      <c r="AH40" s="156"/>
      <c r="AI40" s="210">
        <f t="shared" si="9"/>
        <v>0</v>
      </c>
      <c r="AJ40" s="207" t="str">
        <f t="shared" si="10"/>
        <v>OK</v>
      </c>
    </row>
    <row r="41" spans="2:36" s="127" customFormat="1" ht="30" customHeight="1" thickBot="1">
      <c r="B41" s="167"/>
      <c r="C41" s="69"/>
      <c r="D41" s="57"/>
      <c r="E41" s="57" t="s">
        <v>403</v>
      </c>
      <c r="F41" s="175">
        <f>SUM(F37:F40)</f>
        <v>124760</v>
      </c>
      <c r="G41" s="412">
        <f aca="true" t="shared" si="14" ref="G41:V41">SUM(G37:G40)</f>
        <v>22491</v>
      </c>
      <c r="H41" s="412">
        <f t="shared" si="14"/>
        <v>11</v>
      </c>
      <c r="I41" s="412">
        <f t="shared" si="14"/>
        <v>0</v>
      </c>
      <c r="J41" s="642">
        <f t="shared" si="14"/>
        <v>102258</v>
      </c>
      <c r="K41" s="654">
        <f t="shared" si="14"/>
        <v>39346</v>
      </c>
      <c r="L41" s="649">
        <f t="shared" si="14"/>
        <v>132419</v>
      </c>
      <c r="M41" s="412">
        <f t="shared" si="14"/>
        <v>0</v>
      </c>
      <c r="N41" s="412">
        <f t="shared" si="14"/>
        <v>0</v>
      </c>
      <c r="O41" s="412">
        <f t="shared" si="14"/>
        <v>0</v>
      </c>
      <c r="P41" s="412">
        <f t="shared" si="14"/>
        <v>0</v>
      </c>
      <c r="Q41" s="412">
        <f t="shared" si="14"/>
        <v>0</v>
      </c>
      <c r="R41" s="175">
        <f t="shared" si="14"/>
        <v>21334</v>
      </c>
      <c r="S41" s="630">
        <f t="shared" si="14"/>
        <v>0</v>
      </c>
      <c r="T41" s="170">
        <f t="shared" si="14"/>
        <v>0</v>
      </c>
      <c r="U41" s="170">
        <f t="shared" si="14"/>
        <v>0</v>
      </c>
      <c r="V41" s="400">
        <f t="shared" si="14"/>
        <v>39346</v>
      </c>
      <c r="W41" s="632"/>
      <c r="X41" s="171"/>
      <c r="Y41" s="171"/>
      <c r="AA41" s="128">
        <f t="shared" si="13"/>
        <v>0</v>
      </c>
      <c r="AC41" s="175">
        <f aca="true" t="shared" si="15" ref="AC41:AH41">SUM(AC40)</f>
        <v>0</v>
      </c>
      <c r="AD41" s="175">
        <f t="shared" si="15"/>
        <v>0</v>
      </c>
      <c r="AE41" s="175">
        <f t="shared" si="15"/>
        <v>0</v>
      </c>
      <c r="AF41" s="175">
        <f t="shared" si="15"/>
        <v>0</v>
      </c>
      <c r="AG41" s="175">
        <f t="shared" si="15"/>
        <v>0</v>
      </c>
      <c r="AH41" s="175">
        <f t="shared" si="15"/>
        <v>0</v>
      </c>
      <c r="AI41" s="210">
        <f t="shared" si="9"/>
        <v>0</v>
      </c>
      <c r="AJ41" s="207" t="str">
        <f t="shared" si="10"/>
        <v>OK</v>
      </c>
    </row>
    <row r="42" spans="1:36" s="66" customFormat="1" ht="31.5" customHeight="1" thickBot="1">
      <c r="A42" s="66">
        <v>33</v>
      </c>
      <c r="B42" s="88" t="s">
        <v>169</v>
      </c>
      <c r="C42" s="90" t="s">
        <v>768</v>
      </c>
      <c r="D42" s="51" t="s">
        <v>769</v>
      </c>
      <c r="E42" s="38" t="s">
        <v>770</v>
      </c>
      <c r="F42" s="26" t="s">
        <v>442</v>
      </c>
      <c r="G42" s="416"/>
      <c r="H42" s="416"/>
      <c r="I42" s="416"/>
      <c r="J42" s="644"/>
      <c r="K42" s="656">
        <v>5000</v>
      </c>
      <c r="L42" s="131" t="s">
        <v>442</v>
      </c>
      <c r="M42" s="416"/>
      <c r="N42" s="416"/>
      <c r="O42" s="416"/>
      <c r="P42" s="416"/>
      <c r="Q42" s="424" t="e">
        <f>L42-M42-N42-O42-P42</f>
        <v>#VALUE!</v>
      </c>
      <c r="R42" s="26">
        <v>5000</v>
      </c>
      <c r="S42" s="47"/>
      <c r="T42" s="48"/>
      <c r="U42" s="48"/>
      <c r="V42" s="49">
        <v>5000</v>
      </c>
      <c r="W42" s="49"/>
      <c r="X42" s="49"/>
      <c r="Y42" s="129"/>
      <c r="Z42" s="66" t="s">
        <v>771</v>
      </c>
      <c r="AA42" s="128">
        <f t="shared" si="13"/>
        <v>0</v>
      </c>
      <c r="AI42" s="210">
        <f t="shared" si="9"/>
        <v>0</v>
      </c>
      <c r="AJ42" s="207" t="str">
        <f t="shared" si="10"/>
        <v>OK</v>
      </c>
    </row>
    <row r="43" spans="2:36" s="127" customFormat="1" ht="30" customHeight="1" thickBot="1">
      <c r="B43" s="167"/>
      <c r="C43" s="69"/>
      <c r="D43" s="57"/>
      <c r="E43" s="57" t="s">
        <v>403</v>
      </c>
      <c r="F43" s="175">
        <f>SUM(F42)</f>
        <v>0</v>
      </c>
      <c r="G43" s="412">
        <f aca="true" t="shared" si="16" ref="G43:V43">SUM(G42)</f>
        <v>0</v>
      </c>
      <c r="H43" s="412">
        <f t="shared" si="16"/>
        <v>0</v>
      </c>
      <c r="I43" s="412">
        <f t="shared" si="16"/>
        <v>0</v>
      </c>
      <c r="J43" s="642">
        <f t="shared" si="16"/>
        <v>0</v>
      </c>
      <c r="K43" s="654">
        <f t="shared" si="16"/>
        <v>5000</v>
      </c>
      <c r="L43" s="649">
        <f t="shared" si="16"/>
        <v>0</v>
      </c>
      <c r="M43" s="412">
        <f t="shared" si="16"/>
        <v>0</v>
      </c>
      <c r="N43" s="412">
        <f t="shared" si="16"/>
        <v>0</v>
      </c>
      <c r="O43" s="412">
        <f t="shared" si="16"/>
        <v>0</v>
      </c>
      <c r="P43" s="412">
        <f t="shared" si="16"/>
        <v>0</v>
      </c>
      <c r="Q43" s="412" t="e">
        <f t="shared" si="16"/>
        <v>#VALUE!</v>
      </c>
      <c r="R43" s="175">
        <f t="shared" si="16"/>
        <v>5000</v>
      </c>
      <c r="S43" s="630">
        <f t="shared" si="16"/>
        <v>0</v>
      </c>
      <c r="T43" s="170">
        <f t="shared" si="16"/>
        <v>0</v>
      </c>
      <c r="U43" s="170">
        <f t="shared" si="16"/>
        <v>0</v>
      </c>
      <c r="V43" s="400">
        <f t="shared" si="16"/>
        <v>5000</v>
      </c>
      <c r="W43" s="632"/>
      <c r="X43" s="171"/>
      <c r="Y43" s="171"/>
      <c r="AA43" s="128">
        <f t="shared" si="13"/>
        <v>0</v>
      </c>
      <c r="AC43" s="175">
        <f aca="true" t="shared" si="17" ref="AC43:AH43">SUM(AC42)</f>
        <v>0</v>
      </c>
      <c r="AD43" s="175">
        <f t="shared" si="17"/>
        <v>0</v>
      </c>
      <c r="AE43" s="175">
        <f t="shared" si="17"/>
        <v>0</v>
      </c>
      <c r="AF43" s="175">
        <f t="shared" si="17"/>
        <v>0</v>
      </c>
      <c r="AG43" s="175">
        <f t="shared" si="17"/>
        <v>0</v>
      </c>
      <c r="AH43" s="175">
        <f t="shared" si="17"/>
        <v>0</v>
      </c>
      <c r="AI43" s="210">
        <f t="shared" si="9"/>
        <v>0</v>
      </c>
      <c r="AJ43" s="207" t="str">
        <f t="shared" si="10"/>
        <v>OK</v>
      </c>
    </row>
    <row r="44" spans="1:36" s="66" customFormat="1" ht="50.25" customHeight="1">
      <c r="A44" s="66">
        <v>34</v>
      </c>
      <c r="B44" s="102" t="s">
        <v>285</v>
      </c>
      <c r="C44" s="92" t="s">
        <v>392</v>
      </c>
      <c r="D44" s="38" t="s">
        <v>749</v>
      </c>
      <c r="E44" s="38"/>
      <c r="F44" s="26" t="s">
        <v>442</v>
      </c>
      <c r="G44" s="416"/>
      <c r="H44" s="416"/>
      <c r="I44" s="416"/>
      <c r="J44" s="644"/>
      <c r="K44" s="656">
        <v>2000</v>
      </c>
      <c r="L44" s="131" t="s">
        <v>442</v>
      </c>
      <c r="M44" s="416"/>
      <c r="N44" s="416"/>
      <c r="O44" s="416"/>
      <c r="P44" s="416"/>
      <c r="Q44" s="424" t="e">
        <f>L44-M44-N44-O44-P44</f>
        <v>#VALUE!</v>
      </c>
      <c r="R44" s="26">
        <v>2000</v>
      </c>
      <c r="S44" s="47"/>
      <c r="T44" s="48"/>
      <c r="U44" s="48"/>
      <c r="V44" s="49">
        <v>2000</v>
      </c>
      <c r="W44" s="49"/>
      <c r="X44" s="49"/>
      <c r="Y44" s="129" t="s">
        <v>758</v>
      </c>
      <c r="Z44" s="66" t="s">
        <v>425</v>
      </c>
      <c r="AA44" s="128">
        <f t="shared" si="13"/>
        <v>0</v>
      </c>
      <c r="AI44" s="210">
        <f t="shared" si="9"/>
        <v>0</v>
      </c>
      <c r="AJ44" s="207" t="str">
        <f t="shared" si="10"/>
        <v>OK</v>
      </c>
    </row>
    <row r="45" spans="1:36" s="66" customFormat="1" ht="50.25" customHeight="1">
      <c r="A45" s="127">
        <v>35</v>
      </c>
      <c r="B45" s="99"/>
      <c r="C45" s="93" t="s">
        <v>782</v>
      </c>
      <c r="D45" s="38" t="s">
        <v>522</v>
      </c>
      <c r="E45" s="38" t="s">
        <v>523</v>
      </c>
      <c r="F45" s="26">
        <v>375398</v>
      </c>
      <c r="G45" s="425"/>
      <c r="H45" s="425"/>
      <c r="I45" s="617"/>
      <c r="J45" s="647">
        <v>375398</v>
      </c>
      <c r="K45" s="656">
        <v>90000</v>
      </c>
      <c r="L45" s="131">
        <v>371263</v>
      </c>
      <c r="M45" s="425"/>
      <c r="N45" s="425"/>
      <c r="O45" s="425"/>
      <c r="P45" s="425"/>
      <c r="Q45" s="424">
        <f>L45-M45-N45-O45-P45</f>
        <v>371263</v>
      </c>
      <c r="R45" s="26">
        <v>90000</v>
      </c>
      <c r="S45" s="47"/>
      <c r="T45" s="48"/>
      <c r="U45" s="48"/>
      <c r="V45" s="49">
        <v>90000</v>
      </c>
      <c r="W45" s="49"/>
      <c r="X45" s="49"/>
      <c r="Y45" s="129" t="s">
        <v>297</v>
      </c>
      <c r="Z45" s="66" t="s">
        <v>425</v>
      </c>
      <c r="AA45" s="128">
        <f t="shared" si="13"/>
        <v>0</v>
      </c>
      <c r="AC45" s="25"/>
      <c r="AI45" s="210">
        <f t="shared" si="9"/>
        <v>0</v>
      </c>
      <c r="AJ45" s="207" t="str">
        <f t="shared" si="10"/>
        <v>OK</v>
      </c>
    </row>
    <row r="46" spans="1:37" s="66" customFormat="1" ht="58.5" customHeight="1">
      <c r="A46" s="66">
        <v>36</v>
      </c>
      <c r="B46" s="99"/>
      <c r="C46" s="91" t="s">
        <v>671</v>
      </c>
      <c r="D46" s="51" t="s">
        <v>704</v>
      </c>
      <c r="E46" s="51" t="s">
        <v>777</v>
      </c>
      <c r="F46" s="30">
        <v>417125</v>
      </c>
      <c r="G46" s="427"/>
      <c r="H46" s="427"/>
      <c r="I46" s="427"/>
      <c r="J46" s="648"/>
      <c r="K46" s="658">
        <v>100000</v>
      </c>
      <c r="L46" s="134">
        <v>309315</v>
      </c>
      <c r="M46" s="427"/>
      <c r="N46" s="427"/>
      <c r="O46" s="427"/>
      <c r="P46" s="427"/>
      <c r="Q46" s="424">
        <f>L46-M46-N46-O46-P46</f>
        <v>309315</v>
      </c>
      <c r="R46" s="30">
        <v>100000</v>
      </c>
      <c r="S46" s="52"/>
      <c r="T46" s="53">
        <v>100000</v>
      </c>
      <c r="U46" s="53"/>
      <c r="V46" s="36"/>
      <c r="W46" s="36"/>
      <c r="X46" s="36"/>
      <c r="Y46" s="145" t="s">
        <v>48</v>
      </c>
      <c r="Z46" s="66" t="s">
        <v>425</v>
      </c>
      <c r="AA46" s="128">
        <f t="shared" si="13"/>
        <v>0</v>
      </c>
      <c r="AC46" s="209"/>
      <c r="AD46" s="209"/>
      <c r="AE46" s="209"/>
      <c r="AF46" s="209"/>
      <c r="AG46" s="626">
        <v>100000</v>
      </c>
      <c r="AH46" s="209"/>
      <c r="AI46" s="210">
        <f t="shared" si="9"/>
        <v>100000</v>
      </c>
      <c r="AJ46" s="207" t="str">
        <f t="shared" si="10"/>
        <v>OK</v>
      </c>
      <c r="AK46" s="626">
        <v>100000</v>
      </c>
    </row>
    <row r="47" spans="1:37" s="66" customFormat="1" ht="48" customHeight="1">
      <c r="A47" s="127">
        <v>37</v>
      </c>
      <c r="B47" s="99"/>
      <c r="C47" s="90" t="s">
        <v>27</v>
      </c>
      <c r="D47" s="51" t="s">
        <v>622</v>
      </c>
      <c r="E47" s="51" t="s">
        <v>672</v>
      </c>
      <c r="F47" s="30" t="s">
        <v>442</v>
      </c>
      <c r="G47" s="427"/>
      <c r="H47" s="427"/>
      <c r="I47" s="427"/>
      <c r="J47" s="648"/>
      <c r="K47" s="658">
        <v>150000</v>
      </c>
      <c r="L47" s="134" t="s">
        <v>442</v>
      </c>
      <c r="M47" s="427"/>
      <c r="N47" s="427"/>
      <c r="O47" s="427"/>
      <c r="P47" s="427"/>
      <c r="Q47" s="424" t="e">
        <f>L47-M47-N47-O47-P47</f>
        <v>#VALUE!</v>
      </c>
      <c r="R47" s="30">
        <v>150000</v>
      </c>
      <c r="S47" s="52"/>
      <c r="T47" s="53">
        <v>150000</v>
      </c>
      <c r="U47" s="53"/>
      <c r="V47" s="36"/>
      <c r="W47" s="36"/>
      <c r="X47" s="36"/>
      <c r="Y47" s="145" t="s">
        <v>50</v>
      </c>
      <c r="Z47" s="66" t="s">
        <v>425</v>
      </c>
      <c r="AA47" s="128">
        <f t="shared" si="13"/>
        <v>0</v>
      </c>
      <c r="AC47" s="209"/>
      <c r="AD47" s="209"/>
      <c r="AE47" s="209"/>
      <c r="AF47" s="209"/>
      <c r="AG47" s="53">
        <v>150000</v>
      </c>
      <c r="AH47" s="209"/>
      <c r="AI47" s="210">
        <f t="shared" si="9"/>
        <v>150000</v>
      </c>
      <c r="AJ47" s="207" t="str">
        <f t="shared" si="10"/>
        <v>OK</v>
      </c>
      <c r="AK47" s="626">
        <v>150000</v>
      </c>
    </row>
    <row r="48" spans="1:37" s="66" customFormat="1" ht="55.5" customHeight="1" thickBot="1">
      <c r="A48" s="66">
        <v>38</v>
      </c>
      <c r="B48" s="99"/>
      <c r="C48" s="90" t="s">
        <v>27</v>
      </c>
      <c r="D48" s="51" t="s">
        <v>746</v>
      </c>
      <c r="E48" s="51"/>
      <c r="F48" s="30">
        <v>275910</v>
      </c>
      <c r="G48" s="427">
        <v>16969</v>
      </c>
      <c r="H48" s="427"/>
      <c r="I48" s="427"/>
      <c r="J48" s="648">
        <v>258941</v>
      </c>
      <c r="K48" s="658">
        <v>100000</v>
      </c>
      <c r="L48" s="134">
        <v>268820</v>
      </c>
      <c r="M48" s="427"/>
      <c r="N48" s="427"/>
      <c r="O48" s="427"/>
      <c r="P48" s="427"/>
      <c r="Q48" s="424">
        <f>L139-M139-N139-O139-P139</f>
        <v>0</v>
      </c>
      <c r="R48" s="30">
        <v>150000</v>
      </c>
      <c r="S48" s="52"/>
      <c r="T48" s="40">
        <v>100000</v>
      </c>
      <c r="U48" s="40"/>
      <c r="V48" s="36"/>
      <c r="W48" s="36"/>
      <c r="X48" s="36"/>
      <c r="Y48" s="145" t="s">
        <v>49</v>
      </c>
      <c r="Z48" s="66" t="s">
        <v>425</v>
      </c>
      <c r="AA48" s="128">
        <f t="shared" si="13"/>
        <v>0</v>
      </c>
      <c r="AC48" s="209"/>
      <c r="AD48" s="209"/>
      <c r="AE48" s="209"/>
      <c r="AF48" s="209"/>
      <c r="AG48" s="53">
        <v>100000</v>
      </c>
      <c r="AH48" s="209"/>
      <c r="AI48" s="210">
        <f t="shared" si="9"/>
        <v>100000</v>
      </c>
      <c r="AJ48" s="207" t="str">
        <f t="shared" si="10"/>
        <v>OK</v>
      </c>
      <c r="AK48" s="626">
        <v>100000</v>
      </c>
    </row>
    <row r="49" spans="2:36" s="127" customFormat="1" ht="30" customHeight="1" thickBot="1">
      <c r="B49" s="167"/>
      <c r="C49" s="69"/>
      <c r="D49" s="57"/>
      <c r="E49" s="57" t="s">
        <v>403</v>
      </c>
      <c r="F49" s="175">
        <f>SUM(F44:F48)</f>
        <v>1068433</v>
      </c>
      <c r="G49" s="412">
        <f aca="true" t="shared" si="18" ref="G49:V49">SUM(G44:G48)</f>
        <v>16969</v>
      </c>
      <c r="H49" s="412">
        <f t="shared" si="18"/>
        <v>0</v>
      </c>
      <c r="I49" s="412">
        <f t="shared" si="18"/>
        <v>0</v>
      </c>
      <c r="J49" s="642">
        <f t="shared" si="18"/>
        <v>634339</v>
      </c>
      <c r="K49" s="654">
        <f t="shared" si="18"/>
        <v>442000</v>
      </c>
      <c r="L49" s="649">
        <f t="shared" si="18"/>
        <v>949398</v>
      </c>
      <c r="M49" s="412">
        <f t="shared" si="18"/>
        <v>0</v>
      </c>
      <c r="N49" s="412">
        <f t="shared" si="18"/>
        <v>0</v>
      </c>
      <c r="O49" s="412">
        <f t="shared" si="18"/>
        <v>0</v>
      </c>
      <c r="P49" s="412">
        <f t="shared" si="18"/>
        <v>0</v>
      </c>
      <c r="Q49" s="412" t="e">
        <f t="shared" si="18"/>
        <v>#VALUE!</v>
      </c>
      <c r="R49" s="175">
        <f t="shared" si="18"/>
        <v>492000</v>
      </c>
      <c r="S49" s="630">
        <f t="shared" si="18"/>
        <v>0</v>
      </c>
      <c r="T49" s="170">
        <f t="shared" si="18"/>
        <v>350000</v>
      </c>
      <c r="U49" s="170">
        <f t="shared" si="18"/>
        <v>0</v>
      </c>
      <c r="V49" s="400">
        <f t="shared" si="18"/>
        <v>92000</v>
      </c>
      <c r="W49" s="632"/>
      <c r="X49" s="171"/>
      <c r="Y49" s="171"/>
      <c r="AA49" s="128">
        <f t="shared" si="13"/>
        <v>0</v>
      </c>
      <c r="AC49" s="175">
        <f aca="true" t="shared" si="19" ref="AC49:AH49">SUM(AC48)</f>
        <v>0</v>
      </c>
      <c r="AD49" s="175">
        <f t="shared" si="19"/>
        <v>0</v>
      </c>
      <c r="AE49" s="175">
        <f t="shared" si="19"/>
        <v>0</v>
      </c>
      <c r="AF49" s="175">
        <f t="shared" si="19"/>
        <v>0</v>
      </c>
      <c r="AG49" s="175">
        <f t="shared" si="19"/>
        <v>100000</v>
      </c>
      <c r="AH49" s="175">
        <f t="shared" si="19"/>
        <v>0</v>
      </c>
      <c r="AI49" s="210">
        <f t="shared" si="9"/>
        <v>100000</v>
      </c>
      <c r="AJ49" s="207" t="str">
        <f t="shared" si="10"/>
        <v>OUT</v>
      </c>
    </row>
    <row r="50" spans="1:36" s="66" customFormat="1" ht="38.25" customHeight="1" thickBot="1">
      <c r="A50" s="66">
        <v>39</v>
      </c>
      <c r="B50" s="88" t="s">
        <v>416</v>
      </c>
      <c r="C50" s="93" t="s">
        <v>536</v>
      </c>
      <c r="D50" s="38" t="s">
        <v>536</v>
      </c>
      <c r="E50" s="38" t="s">
        <v>569</v>
      </c>
      <c r="F50" s="26">
        <v>901333</v>
      </c>
      <c r="G50" s="416"/>
      <c r="H50" s="416"/>
      <c r="I50" s="416"/>
      <c r="J50" s="644"/>
      <c r="K50" s="656">
        <f>L50-F50</f>
        <v>56040</v>
      </c>
      <c r="L50" s="131">
        <v>957373</v>
      </c>
      <c r="M50" s="416"/>
      <c r="N50" s="416"/>
      <c r="O50" s="416"/>
      <c r="P50" s="416"/>
      <c r="Q50" s="424">
        <f>L50-M50-N50-O50-P50</f>
        <v>957373</v>
      </c>
      <c r="R50" s="26">
        <v>37559</v>
      </c>
      <c r="S50" s="47"/>
      <c r="T50" s="48"/>
      <c r="U50" s="48"/>
      <c r="V50" s="49">
        <v>56040</v>
      </c>
      <c r="W50" s="49"/>
      <c r="X50" s="49"/>
      <c r="Y50" s="129" t="s">
        <v>821</v>
      </c>
      <c r="Z50" s="66" t="s">
        <v>425</v>
      </c>
      <c r="AA50" s="128">
        <f t="shared" si="13"/>
        <v>0</v>
      </c>
      <c r="AC50" s="25"/>
      <c r="AI50" s="210">
        <f t="shared" si="9"/>
        <v>0</v>
      </c>
      <c r="AJ50" s="207" t="str">
        <f t="shared" si="10"/>
        <v>OK</v>
      </c>
    </row>
    <row r="51" spans="2:36" s="127" customFormat="1" ht="30" customHeight="1" thickBot="1">
      <c r="B51" s="167"/>
      <c r="C51" s="69"/>
      <c r="D51" s="57"/>
      <c r="E51" s="57" t="s">
        <v>403</v>
      </c>
      <c r="F51" s="175">
        <f>SUM(F50)</f>
        <v>901333</v>
      </c>
      <c r="G51" s="412"/>
      <c r="H51" s="412"/>
      <c r="I51" s="412"/>
      <c r="J51" s="642"/>
      <c r="K51" s="654">
        <f>SUM(K50)</f>
        <v>56040</v>
      </c>
      <c r="L51" s="649">
        <f>SUM(L50)</f>
        <v>957373</v>
      </c>
      <c r="M51" s="412"/>
      <c r="N51" s="412"/>
      <c r="O51" s="412"/>
      <c r="P51" s="412"/>
      <c r="Q51" s="412"/>
      <c r="R51" s="175">
        <f>SUM(R50)</f>
        <v>37559</v>
      </c>
      <c r="S51" s="630">
        <f>SUM(S50)</f>
        <v>0</v>
      </c>
      <c r="T51" s="170">
        <f>SUM(T50)</f>
        <v>0</v>
      </c>
      <c r="U51" s="170">
        <f>SUM(U50)</f>
        <v>0</v>
      </c>
      <c r="V51" s="400">
        <f>SUM(V50)</f>
        <v>56040</v>
      </c>
      <c r="W51" s="632"/>
      <c r="X51" s="171"/>
      <c r="Y51" s="171"/>
      <c r="AA51" s="128">
        <f t="shared" si="13"/>
        <v>0</v>
      </c>
      <c r="AC51" s="175">
        <f aca="true" t="shared" si="20" ref="AC51:AH51">SUM(AC50)</f>
        <v>0</v>
      </c>
      <c r="AD51" s="175">
        <f t="shared" si="20"/>
        <v>0</v>
      </c>
      <c r="AE51" s="175">
        <f t="shared" si="20"/>
        <v>0</v>
      </c>
      <c r="AF51" s="175">
        <f t="shared" si="20"/>
        <v>0</v>
      </c>
      <c r="AG51" s="175">
        <f t="shared" si="20"/>
        <v>0</v>
      </c>
      <c r="AH51" s="175">
        <f t="shared" si="20"/>
        <v>0</v>
      </c>
      <c r="AI51" s="210">
        <f t="shared" si="9"/>
        <v>0</v>
      </c>
      <c r="AJ51" s="207" t="str">
        <f t="shared" si="10"/>
        <v>OK</v>
      </c>
    </row>
    <row r="52" spans="1:36" s="66" customFormat="1" ht="50.25" customHeight="1">
      <c r="A52" s="66">
        <v>40</v>
      </c>
      <c r="B52" s="89" t="s">
        <v>415</v>
      </c>
      <c r="C52" s="217" t="s">
        <v>423</v>
      </c>
      <c r="D52" s="56" t="s">
        <v>751</v>
      </c>
      <c r="E52" s="38" t="s">
        <v>576</v>
      </c>
      <c r="F52" s="332">
        <v>92400</v>
      </c>
      <c r="G52" s="416"/>
      <c r="H52" s="416"/>
      <c r="I52" s="416"/>
      <c r="J52" s="644"/>
      <c r="K52" s="659">
        <v>92400</v>
      </c>
      <c r="L52" s="131">
        <v>92400</v>
      </c>
      <c r="M52" s="416"/>
      <c r="N52" s="416"/>
      <c r="O52" s="416"/>
      <c r="P52" s="416"/>
      <c r="Q52" s="424">
        <f aca="true" t="shared" si="21" ref="Q52:Q57">L52-M52-N52-O52-P52</f>
        <v>92400</v>
      </c>
      <c r="R52" s="332">
        <v>92400</v>
      </c>
      <c r="S52" s="320"/>
      <c r="T52" s="187"/>
      <c r="U52" s="187"/>
      <c r="V52" s="188">
        <v>92400</v>
      </c>
      <c r="W52" s="188"/>
      <c r="X52" s="188"/>
      <c r="Y52" s="129" t="s">
        <v>863</v>
      </c>
      <c r="Z52" s="66" t="s">
        <v>425</v>
      </c>
      <c r="AA52" s="128">
        <f t="shared" si="13"/>
        <v>0</v>
      </c>
      <c r="AI52" s="210">
        <f t="shared" si="9"/>
        <v>0</v>
      </c>
      <c r="AJ52" s="207" t="str">
        <f t="shared" si="10"/>
        <v>OK</v>
      </c>
    </row>
    <row r="53" spans="1:37" s="66" customFormat="1" ht="52.5" customHeight="1">
      <c r="A53" s="127">
        <v>41</v>
      </c>
      <c r="B53" s="89"/>
      <c r="C53" s="217"/>
      <c r="D53" s="38" t="s">
        <v>753</v>
      </c>
      <c r="E53" s="38" t="s">
        <v>767</v>
      </c>
      <c r="F53" s="332">
        <v>2011082</v>
      </c>
      <c r="G53" s="416"/>
      <c r="H53" s="416"/>
      <c r="I53" s="416"/>
      <c r="J53" s="644"/>
      <c r="K53" s="659">
        <v>7737</v>
      </c>
      <c r="L53" s="131">
        <v>1849128</v>
      </c>
      <c r="M53" s="416"/>
      <c r="N53" s="416"/>
      <c r="O53" s="416"/>
      <c r="P53" s="416"/>
      <c r="Q53" s="424">
        <f t="shared" si="21"/>
        <v>1849128</v>
      </c>
      <c r="R53" s="332">
        <v>7762</v>
      </c>
      <c r="S53" s="320"/>
      <c r="T53" s="187"/>
      <c r="U53" s="187"/>
      <c r="V53" s="188">
        <v>7737</v>
      </c>
      <c r="W53" s="188"/>
      <c r="X53" s="188"/>
      <c r="Y53" s="129" t="s">
        <v>0</v>
      </c>
      <c r="Z53" s="66" t="s">
        <v>425</v>
      </c>
      <c r="AA53" s="128">
        <f t="shared" si="13"/>
        <v>0</v>
      </c>
      <c r="AI53" s="210">
        <f t="shared" si="9"/>
        <v>0</v>
      </c>
      <c r="AJ53" s="207" t="str">
        <f t="shared" si="10"/>
        <v>OK</v>
      </c>
      <c r="AK53" s="25"/>
    </row>
    <row r="54" spans="1:37" s="66" customFormat="1" ht="42" customHeight="1">
      <c r="A54" s="66">
        <v>42</v>
      </c>
      <c r="B54" s="89"/>
      <c r="C54" s="218" t="s">
        <v>235</v>
      </c>
      <c r="D54" s="38" t="s">
        <v>237</v>
      </c>
      <c r="E54" s="38" t="s">
        <v>64</v>
      </c>
      <c r="F54" s="26">
        <v>154782768</v>
      </c>
      <c r="G54" s="416">
        <v>40085762</v>
      </c>
      <c r="H54" s="416"/>
      <c r="I54" s="416"/>
      <c r="J54" s="644">
        <v>114697006</v>
      </c>
      <c r="K54" s="656">
        <v>1504000</v>
      </c>
      <c r="L54" s="131">
        <v>158619628</v>
      </c>
      <c r="M54" s="416"/>
      <c r="N54" s="416"/>
      <c r="O54" s="416"/>
      <c r="P54" s="416"/>
      <c r="Q54" s="424">
        <f t="shared" si="21"/>
        <v>158619628</v>
      </c>
      <c r="R54" s="26">
        <v>740000</v>
      </c>
      <c r="S54" s="47"/>
      <c r="T54" s="48"/>
      <c r="U54" s="48"/>
      <c r="V54" s="49">
        <v>1504000</v>
      </c>
      <c r="W54" s="49"/>
      <c r="X54" s="49"/>
      <c r="Y54" s="129" t="s">
        <v>482</v>
      </c>
      <c r="Z54" s="66" t="s">
        <v>425</v>
      </c>
      <c r="AA54" s="128">
        <f t="shared" si="13"/>
        <v>0</v>
      </c>
      <c r="AH54" s="25"/>
      <c r="AI54" s="210">
        <f t="shared" si="9"/>
        <v>0</v>
      </c>
      <c r="AJ54" s="207" t="str">
        <f t="shared" si="10"/>
        <v>OK</v>
      </c>
      <c r="AK54" s="25"/>
    </row>
    <row r="55" spans="1:37" s="66" customFormat="1" ht="55.5" customHeight="1">
      <c r="A55" s="127">
        <v>43</v>
      </c>
      <c r="B55" s="89"/>
      <c r="C55" s="218" t="s">
        <v>593</v>
      </c>
      <c r="D55" s="38" t="s">
        <v>594</v>
      </c>
      <c r="E55" s="38"/>
      <c r="F55" s="26">
        <v>8067596</v>
      </c>
      <c r="G55" s="416">
        <v>957877</v>
      </c>
      <c r="H55" s="416"/>
      <c r="I55" s="416">
        <v>7062900</v>
      </c>
      <c r="J55" s="644">
        <v>46819</v>
      </c>
      <c r="K55" s="656">
        <v>100000</v>
      </c>
      <c r="L55" s="131">
        <v>99299563</v>
      </c>
      <c r="M55" s="416"/>
      <c r="N55" s="416"/>
      <c r="O55" s="416"/>
      <c r="P55" s="416"/>
      <c r="Q55" s="424">
        <f t="shared" si="21"/>
        <v>99299563</v>
      </c>
      <c r="R55" s="26">
        <v>56855</v>
      </c>
      <c r="S55" s="47"/>
      <c r="T55" s="48">
        <v>100000</v>
      </c>
      <c r="U55" s="48"/>
      <c r="V55" s="49"/>
      <c r="W55" s="49"/>
      <c r="X55" s="49"/>
      <c r="Y55" s="129" t="s">
        <v>483</v>
      </c>
      <c r="Z55" s="66" t="s">
        <v>425</v>
      </c>
      <c r="AA55" s="128">
        <f t="shared" si="13"/>
        <v>0</v>
      </c>
      <c r="AG55" s="48">
        <v>100000</v>
      </c>
      <c r="AH55" s="25"/>
      <c r="AI55" s="210">
        <f t="shared" si="9"/>
        <v>100000</v>
      </c>
      <c r="AJ55" s="207" t="str">
        <f t="shared" si="10"/>
        <v>OK</v>
      </c>
      <c r="AK55" s="48">
        <v>100000</v>
      </c>
    </row>
    <row r="56" spans="1:37" s="66" customFormat="1" ht="42" customHeight="1">
      <c r="A56" s="66">
        <v>44</v>
      </c>
      <c r="B56" s="89"/>
      <c r="C56" s="93" t="s">
        <v>3</v>
      </c>
      <c r="D56" s="38" t="s">
        <v>4</v>
      </c>
      <c r="E56" s="38" t="s">
        <v>540</v>
      </c>
      <c r="F56" s="26">
        <v>28258993</v>
      </c>
      <c r="G56" s="416">
        <v>3851919</v>
      </c>
      <c r="H56" s="416"/>
      <c r="I56" s="416"/>
      <c r="J56" s="644">
        <v>24407074</v>
      </c>
      <c r="K56" s="656">
        <v>18000</v>
      </c>
      <c r="L56" s="131">
        <v>27788207</v>
      </c>
      <c r="M56" s="416"/>
      <c r="N56" s="416"/>
      <c r="O56" s="416"/>
      <c r="P56" s="416"/>
      <c r="Q56" s="424">
        <f t="shared" si="21"/>
        <v>27788207</v>
      </c>
      <c r="R56" s="26">
        <v>9000</v>
      </c>
      <c r="S56" s="47"/>
      <c r="T56" s="48"/>
      <c r="U56" s="48"/>
      <c r="V56" s="49">
        <v>18000</v>
      </c>
      <c r="W56" s="49"/>
      <c r="X56" s="49"/>
      <c r="Y56" s="129" t="s">
        <v>488</v>
      </c>
      <c r="Z56" s="66" t="s">
        <v>425</v>
      </c>
      <c r="AA56" s="128">
        <f t="shared" si="13"/>
        <v>0</v>
      </c>
      <c r="AG56" s="62"/>
      <c r="AH56" s="25"/>
      <c r="AI56" s="210">
        <f t="shared" si="9"/>
        <v>0</v>
      </c>
      <c r="AJ56" s="207" t="str">
        <f t="shared" si="10"/>
        <v>OK</v>
      </c>
      <c r="AK56" s="62"/>
    </row>
    <row r="57" spans="1:37" s="66" customFormat="1" ht="42.75" customHeight="1">
      <c r="A57" s="127">
        <v>45</v>
      </c>
      <c r="B57" s="89"/>
      <c r="C57" s="219" t="s">
        <v>676</v>
      </c>
      <c r="D57" s="51" t="s">
        <v>132</v>
      </c>
      <c r="E57" s="38" t="s">
        <v>677</v>
      </c>
      <c r="F57" s="26" t="s">
        <v>442</v>
      </c>
      <c r="G57" s="416"/>
      <c r="H57" s="416"/>
      <c r="I57" s="416"/>
      <c r="J57" s="644"/>
      <c r="K57" s="656">
        <v>150000</v>
      </c>
      <c r="L57" s="131" t="s">
        <v>442</v>
      </c>
      <c r="M57" s="416"/>
      <c r="N57" s="416"/>
      <c r="O57" s="416"/>
      <c r="P57" s="416"/>
      <c r="Q57" s="424" t="e">
        <f t="shared" si="21"/>
        <v>#VALUE!</v>
      </c>
      <c r="R57" s="26">
        <v>150000</v>
      </c>
      <c r="S57" s="47"/>
      <c r="T57" s="48">
        <v>150000</v>
      </c>
      <c r="U57" s="48"/>
      <c r="V57" s="49"/>
      <c r="W57" s="49"/>
      <c r="X57" s="49"/>
      <c r="Y57" s="129" t="s">
        <v>47</v>
      </c>
      <c r="Z57" s="66" t="s">
        <v>425</v>
      </c>
      <c r="AA57" s="128">
        <f t="shared" si="13"/>
        <v>0</v>
      </c>
      <c r="AG57" s="48">
        <v>150000</v>
      </c>
      <c r="AH57" s="48"/>
      <c r="AI57" s="210">
        <f t="shared" si="9"/>
        <v>150000</v>
      </c>
      <c r="AJ57" s="207" t="str">
        <f t="shared" si="10"/>
        <v>OK</v>
      </c>
      <c r="AK57" s="48">
        <v>150000</v>
      </c>
    </row>
    <row r="58" spans="1:37" s="66" customFormat="1" ht="42.75" customHeight="1">
      <c r="A58" s="66">
        <v>46</v>
      </c>
      <c r="B58" s="89"/>
      <c r="C58" s="217"/>
      <c r="D58" s="56"/>
      <c r="E58" s="38" t="s">
        <v>459</v>
      </c>
      <c r="F58" s="26">
        <v>25343647</v>
      </c>
      <c r="G58" s="416">
        <v>3856376</v>
      </c>
      <c r="H58" s="416"/>
      <c r="I58" s="416"/>
      <c r="J58" s="644">
        <v>21487271</v>
      </c>
      <c r="K58" s="656">
        <v>400000</v>
      </c>
      <c r="L58" s="131">
        <v>25199386</v>
      </c>
      <c r="M58" s="416"/>
      <c r="N58" s="416"/>
      <c r="O58" s="416"/>
      <c r="P58" s="416"/>
      <c r="Q58" s="424"/>
      <c r="R58" s="26">
        <v>85738</v>
      </c>
      <c r="S58" s="47"/>
      <c r="T58" s="48"/>
      <c r="U58" s="48"/>
      <c r="V58" s="49">
        <v>400000</v>
      </c>
      <c r="W58" s="49"/>
      <c r="X58" s="49"/>
      <c r="Y58" s="129" t="s">
        <v>253</v>
      </c>
      <c r="Z58" s="66" t="s">
        <v>425</v>
      </c>
      <c r="AA58" s="128">
        <f t="shared" si="13"/>
        <v>0</v>
      </c>
      <c r="AG58" s="62"/>
      <c r="AH58" s="62"/>
      <c r="AI58" s="210">
        <f t="shared" si="9"/>
        <v>0</v>
      </c>
      <c r="AJ58" s="207" t="str">
        <f t="shared" si="10"/>
        <v>OK</v>
      </c>
      <c r="AK58" s="62"/>
    </row>
    <row r="59" spans="1:37" s="66" customFormat="1" ht="45.75" customHeight="1">
      <c r="A59" s="127">
        <v>47</v>
      </c>
      <c r="B59" s="89"/>
      <c r="C59" s="220"/>
      <c r="D59" s="50"/>
      <c r="E59" s="38" t="s">
        <v>294</v>
      </c>
      <c r="F59" s="26">
        <v>621690</v>
      </c>
      <c r="G59" s="416"/>
      <c r="H59" s="416"/>
      <c r="I59" s="416"/>
      <c r="J59" s="644">
        <v>621690</v>
      </c>
      <c r="K59" s="656">
        <f>1214413-F59</f>
        <v>592723</v>
      </c>
      <c r="L59" s="131">
        <v>1214413</v>
      </c>
      <c r="M59" s="416"/>
      <c r="N59" s="416"/>
      <c r="O59" s="416"/>
      <c r="P59" s="416"/>
      <c r="Q59" s="424">
        <f>L59-M59-N59-O59-P59</f>
        <v>1214413</v>
      </c>
      <c r="R59" s="26">
        <v>120000</v>
      </c>
      <c r="S59" s="47"/>
      <c r="T59" s="48"/>
      <c r="U59" s="48"/>
      <c r="V59" s="49">
        <v>592723</v>
      </c>
      <c r="W59" s="49"/>
      <c r="X59" s="49"/>
      <c r="Y59" s="129" t="s">
        <v>489</v>
      </c>
      <c r="Z59" s="66" t="s">
        <v>425</v>
      </c>
      <c r="AA59" s="128">
        <f t="shared" si="13"/>
        <v>0</v>
      </c>
      <c r="AG59" s="62"/>
      <c r="AH59" s="62"/>
      <c r="AI59" s="210">
        <f t="shared" si="9"/>
        <v>0</v>
      </c>
      <c r="AJ59" s="207" t="str">
        <f t="shared" si="10"/>
        <v>OK</v>
      </c>
      <c r="AK59" s="62"/>
    </row>
    <row r="60" spans="1:36" s="66" customFormat="1" ht="69.75" customHeight="1" thickBot="1">
      <c r="A60" s="66">
        <v>48</v>
      </c>
      <c r="B60" s="99"/>
      <c r="C60" s="219" t="s">
        <v>424</v>
      </c>
      <c r="D60" s="38" t="s">
        <v>804</v>
      </c>
      <c r="E60" s="51" t="s">
        <v>20</v>
      </c>
      <c r="F60" s="30" t="s">
        <v>442</v>
      </c>
      <c r="G60" s="427"/>
      <c r="H60" s="427"/>
      <c r="I60" s="427"/>
      <c r="J60" s="648"/>
      <c r="K60" s="658">
        <v>5000</v>
      </c>
      <c r="L60" s="134" t="s">
        <v>442</v>
      </c>
      <c r="M60" s="427"/>
      <c r="N60" s="427"/>
      <c r="O60" s="427"/>
      <c r="P60" s="427"/>
      <c r="Q60" s="424" t="e">
        <f>L60-M60-N60-O60-P60</f>
        <v>#VALUE!</v>
      </c>
      <c r="R60" s="30">
        <v>5000</v>
      </c>
      <c r="S60" s="52"/>
      <c r="T60" s="53"/>
      <c r="U60" s="53"/>
      <c r="V60" s="36">
        <v>5000</v>
      </c>
      <c r="W60" s="36"/>
      <c r="X60" s="36"/>
      <c r="Y60" s="145" t="s">
        <v>25</v>
      </c>
      <c r="Z60" s="66" t="s">
        <v>425</v>
      </c>
      <c r="AA60" s="128">
        <f t="shared" si="13"/>
        <v>0</v>
      </c>
      <c r="AI60" s="210">
        <f t="shared" si="9"/>
        <v>0</v>
      </c>
      <c r="AJ60" s="207" t="str">
        <f t="shared" si="10"/>
        <v>OK</v>
      </c>
    </row>
    <row r="61" spans="2:36" s="127" customFormat="1" ht="30" customHeight="1" thickBot="1">
      <c r="B61" s="167"/>
      <c r="C61" s="69"/>
      <c r="D61" s="57"/>
      <c r="E61" s="57" t="s">
        <v>403</v>
      </c>
      <c r="F61" s="175">
        <f>SUM(F52:F60)</f>
        <v>219178176</v>
      </c>
      <c r="G61" s="412">
        <f aca="true" t="shared" si="22" ref="G61:V61">SUM(G52:G60)</f>
        <v>48751934</v>
      </c>
      <c r="H61" s="412">
        <f t="shared" si="22"/>
        <v>0</v>
      </c>
      <c r="I61" s="412">
        <f t="shared" si="22"/>
        <v>7062900</v>
      </c>
      <c r="J61" s="642">
        <f t="shared" si="22"/>
        <v>161259860</v>
      </c>
      <c r="K61" s="654">
        <f t="shared" si="22"/>
        <v>2869860</v>
      </c>
      <c r="L61" s="649">
        <f t="shared" si="22"/>
        <v>314062725</v>
      </c>
      <c r="M61" s="412">
        <f t="shared" si="22"/>
        <v>0</v>
      </c>
      <c r="N61" s="412">
        <f t="shared" si="22"/>
        <v>0</v>
      </c>
      <c r="O61" s="412">
        <f t="shared" si="22"/>
        <v>0</v>
      </c>
      <c r="P61" s="412">
        <f t="shared" si="22"/>
        <v>0</v>
      </c>
      <c r="Q61" s="412" t="e">
        <f t="shared" si="22"/>
        <v>#VALUE!</v>
      </c>
      <c r="R61" s="175">
        <f t="shared" si="22"/>
        <v>1266755</v>
      </c>
      <c r="S61" s="630">
        <f t="shared" si="22"/>
        <v>0</v>
      </c>
      <c r="T61" s="170">
        <f t="shared" si="22"/>
        <v>250000</v>
      </c>
      <c r="U61" s="170">
        <f t="shared" si="22"/>
        <v>0</v>
      </c>
      <c r="V61" s="400">
        <f t="shared" si="22"/>
        <v>2619860</v>
      </c>
      <c r="W61" s="632"/>
      <c r="X61" s="171"/>
      <c r="Y61" s="171"/>
      <c r="AA61" s="128">
        <f t="shared" si="13"/>
        <v>0</v>
      </c>
      <c r="AC61" s="175">
        <f aca="true" t="shared" si="23" ref="AC61:AH61">SUM(AC60)</f>
        <v>0</v>
      </c>
      <c r="AD61" s="175">
        <f t="shared" si="23"/>
        <v>0</v>
      </c>
      <c r="AE61" s="175">
        <f t="shared" si="23"/>
        <v>0</v>
      </c>
      <c r="AF61" s="175">
        <f t="shared" si="23"/>
        <v>0</v>
      </c>
      <c r="AG61" s="175">
        <f t="shared" si="23"/>
        <v>0</v>
      </c>
      <c r="AH61" s="175">
        <f t="shared" si="23"/>
        <v>0</v>
      </c>
      <c r="AI61" s="210">
        <f t="shared" si="9"/>
        <v>0</v>
      </c>
      <c r="AJ61" s="207" t="str">
        <f t="shared" si="10"/>
        <v>OUT</v>
      </c>
    </row>
    <row r="62" spans="2:37" s="66" customFormat="1" ht="31.5" customHeight="1" thickBot="1">
      <c r="B62" s="636"/>
      <c r="C62" s="637"/>
      <c r="D62" s="638"/>
      <c r="E62" s="138" t="s">
        <v>156</v>
      </c>
      <c r="F62" s="31">
        <f>F8+F23+F33+F36+F41+F43+F49+F51+F61</f>
        <v>239413523</v>
      </c>
      <c r="G62" s="376">
        <f aca="true" t="shared" si="24" ref="G62:V62">G8+G23+G33+G36+G41+G43+G49+G51+G61</f>
        <v>49159985</v>
      </c>
      <c r="H62" s="376">
        <f t="shared" si="24"/>
        <v>225571</v>
      </c>
      <c r="I62" s="376">
        <f t="shared" si="24"/>
        <v>7062900</v>
      </c>
      <c r="J62" s="634">
        <f t="shared" si="24"/>
        <v>177610565</v>
      </c>
      <c r="K62" s="660">
        <f t="shared" si="24"/>
        <v>12634571</v>
      </c>
      <c r="L62" s="650">
        <f t="shared" si="24"/>
        <v>329843184</v>
      </c>
      <c r="M62" s="376">
        <f t="shared" si="24"/>
        <v>0</v>
      </c>
      <c r="N62" s="376">
        <f t="shared" si="24"/>
        <v>0</v>
      </c>
      <c r="O62" s="376">
        <f t="shared" si="24"/>
        <v>0</v>
      </c>
      <c r="P62" s="376">
        <f t="shared" si="24"/>
        <v>0</v>
      </c>
      <c r="Q62" s="376" t="e">
        <f t="shared" si="24"/>
        <v>#VALUE!</v>
      </c>
      <c r="R62" s="31">
        <f t="shared" si="24"/>
        <v>12953779</v>
      </c>
      <c r="S62" s="114">
        <f t="shared" si="24"/>
        <v>0</v>
      </c>
      <c r="T62" s="111">
        <f t="shared" si="24"/>
        <v>717836</v>
      </c>
      <c r="U62" s="111">
        <f t="shared" si="24"/>
        <v>0</v>
      </c>
      <c r="V62" s="111">
        <f t="shared" si="24"/>
        <v>11916735</v>
      </c>
      <c r="W62" s="371"/>
      <c r="X62" s="631"/>
      <c r="Y62" s="87"/>
      <c r="AA62" s="128">
        <f>K62-S62-T62-U62-V62</f>
        <v>0</v>
      </c>
      <c r="AC62" s="111" t="e">
        <f>#REF!+#REF!+#REF!+#REF!+#REF!+#REF!+#REF!+AC31+AC34+AC59+AC60</f>
        <v>#REF!</v>
      </c>
      <c r="AD62" s="111" t="e">
        <f>#REF!+#REF!+#REF!+#REF!+#REF!+#REF!+#REF!+AD31+AD34+AD59+AD60</f>
        <v>#REF!</v>
      </c>
      <c r="AE62" s="111" t="e">
        <f>#REF!+#REF!+#REF!+#REF!+#REF!+#REF!+#REF!+AE31+AE34+AE59+AE60</f>
        <v>#REF!</v>
      </c>
      <c r="AF62" s="111" t="e">
        <f>#REF!+#REF!+#REF!+#REF!+#REF!+#REF!+#REF!+AF31+AF34+AF59+AF60</f>
        <v>#REF!</v>
      </c>
      <c r="AG62" s="111" t="e">
        <f>#REF!+#REF!+#REF!+#REF!+#REF!+#REF!+#REF!+AG31+AG34+AG59+AG60</f>
        <v>#REF!</v>
      </c>
      <c r="AH62" s="111" t="e">
        <f>#REF!+#REF!+#REF!+#REF!+#REF!+#REF!+#REF!+AH31+AH34+AH59+AH60</f>
        <v>#REF!</v>
      </c>
      <c r="AI62" s="111" t="e">
        <f>#REF!+#REF!+#REF!+#REF!+#REF!+#REF!+#REF!+AI31+AI34+AI59+AI60</f>
        <v>#REF!</v>
      </c>
      <c r="AJ62" s="207" t="e">
        <f t="shared" si="10"/>
        <v>#REF!</v>
      </c>
      <c r="AK62" s="66" t="e">
        <f>SUM(#REF!)</f>
        <v>#REF!</v>
      </c>
    </row>
  </sheetData>
  <mergeCells count="4">
    <mergeCell ref="G3:J3"/>
    <mergeCell ref="M3:P3"/>
    <mergeCell ref="S3:V3"/>
    <mergeCell ref="B5:B6"/>
  </mergeCells>
  <printOptions/>
  <pageMargins left="0.5118110236220472" right="0.4330708661417323" top="0.35433070866141736" bottom="0.4724409448818898" header="0.2755905511811024" footer="0.2362204724409449"/>
  <pageSetup horizontalDpi="600" verticalDpi="600" orientation="portrait" paperSize="9" scale="10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AK131"/>
  <sheetViews>
    <sheetView workbookViewId="0" topLeftCell="A113">
      <selection activeCell="F127" sqref="F127"/>
    </sheetView>
  </sheetViews>
  <sheetFormatPr defaultColWidth="9.00390625" defaultRowHeight="13.5"/>
  <cols>
    <col min="1" max="1" width="3.625" style="66" customWidth="1"/>
    <col min="2" max="2" width="2.625" style="66" customWidth="1"/>
    <col min="3" max="3" width="4.875" style="66" customWidth="1"/>
    <col min="4" max="4" width="7.50390625" style="66" customWidth="1"/>
    <col min="5" max="6" width="11.00390625" style="66" customWidth="1"/>
    <col min="7" max="7" width="10.25390625" style="66" hidden="1" customWidth="1"/>
    <col min="8" max="8" width="9.25390625" style="66" hidden="1" customWidth="1"/>
    <col min="9" max="9" width="9.25390625" style="619" hidden="1" customWidth="1"/>
    <col min="10" max="10" width="13.50390625" style="619" hidden="1" customWidth="1"/>
    <col min="11" max="11" width="12.125" style="66" customWidth="1"/>
    <col min="12" max="12" width="9.875" style="66" hidden="1" customWidth="1"/>
    <col min="13" max="13" width="16.25390625" style="66" hidden="1" customWidth="1"/>
    <col min="14" max="14" width="15.875" style="66" hidden="1" customWidth="1"/>
    <col min="15" max="15" width="13.75390625" style="66" hidden="1" customWidth="1"/>
    <col min="16" max="16" width="9.50390625" style="66" hidden="1" customWidth="1"/>
    <col min="17" max="17" width="1.4921875" style="66" hidden="1" customWidth="1"/>
    <col min="18" max="18" width="1.75390625" style="66" hidden="1" customWidth="1"/>
    <col min="19" max="19" width="12.50390625" style="66" customWidth="1"/>
    <col min="20" max="20" width="11.125" style="66" customWidth="1"/>
    <col min="21" max="21" width="11.875" style="66" customWidth="1"/>
    <col min="22" max="22" width="11.125" style="66" customWidth="1"/>
    <col min="23" max="23" width="1.00390625" style="66" hidden="1" customWidth="1"/>
    <col min="24" max="24" width="2.625" style="66" customWidth="1"/>
    <col min="25" max="25" width="11.75390625" style="147" customWidth="1"/>
    <col min="26" max="26" width="2.75390625" style="66" customWidth="1"/>
    <col min="27" max="27" width="10.25390625" style="66" customWidth="1"/>
    <col min="28" max="28" width="3.25390625" style="66" customWidth="1"/>
    <col min="29" max="29" width="15.75390625" style="66" customWidth="1"/>
    <col min="30" max="30" width="16.125" style="66" customWidth="1"/>
    <col min="31" max="32" width="10.125" style="66" customWidth="1"/>
    <col min="33" max="33" width="15.25390625" style="66" customWidth="1"/>
    <col min="34" max="35" width="11.125" style="66" customWidth="1"/>
    <col min="36" max="36" width="18.125" style="66" customWidth="1"/>
    <col min="37" max="37" width="13.875" style="66" customWidth="1"/>
    <col min="38" max="16384" width="9.00390625" style="66" customWidth="1"/>
  </cols>
  <sheetData>
    <row r="1" spans="3:25" ht="17.25" customHeight="1">
      <c r="C1" s="73"/>
      <c r="D1" s="74" t="s">
        <v>158</v>
      </c>
      <c r="E1" s="75" t="s">
        <v>607</v>
      </c>
      <c r="F1" s="75"/>
      <c r="G1" s="75"/>
      <c r="H1" s="75"/>
      <c r="I1" s="618"/>
      <c r="J1" s="618"/>
      <c r="K1" s="76"/>
      <c r="L1" s="75"/>
      <c r="M1" s="75"/>
      <c r="N1" s="75"/>
      <c r="O1" s="75"/>
      <c r="P1" s="75"/>
      <c r="Q1" s="75"/>
      <c r="R1" s="76"/>
      <c r="T1" s="76"/>
      <c r="U1" s="76"/>
      <c r="V1" s="77" t="s">
        <v>123</v>
      </c>
      <c r="W1" s="77"/>
      <c r="X1" s="77"/>
      <c r="Y1" s="141"/>
    </row>
    <row r="2" spans="3:25" ht="18" customHeight="1" thickBot="1">
      <c r="C2" s="73"/>
      <c r="D2" s="73"/>
      <c r="K2" s="78" t="s">
        <v>122</v>
      </c>
      <c r="R2" s="78" t="s">
        <v>122</v>
      </c>
      <c r="T2" s="79"/>
      <c r="U2" s="378"/>
      <c r="V2" s="80"/>
      <c r="W2" s="81"/>
      <c r="X2" s="81"/>
      <c r="Y2" s="141"/>
    </row>
    <row r="3" spans="2:37" ht="21.75" customHeight="1">
      <c r="B3" s="82" t="s">
        <v>138</v>
      </c>
      <c r="C3" s="83" t="s">
        <v>157</v>
      </c>
      <c r="D3" s="84" t="s">
        <v>435</v>
      </c>
      <c r="E3" s="136" t="s">
        <v>120</v>
      </c>
      <c r="F3" s="403" t="s">
        <v>119</v>
      </c>
      <c r="G3" s="855" t="s">
        <v>172</v>
      </c>
      <c r="H3" s="855"/>
      <c r="I3" s="855"/>
      <c r="J3" s="856"/>
      <c r="K3" s="651" t="s">
        <v>118</v>
      </c>
      <c r="L3" s="403" t="s">
        <v>119</v>
      </c>
      <c r="M3" s="855" t="s">
        <v>720</v>
      </c>
      <c r="N3" s="855"/>
      <c r="O3" s="855"/>
      <c r="P3" s="855"/>
      <c r="Q3" s="404"/>
      <c r="R3" s="225" t="s">
        <v>118</v>
      </c>
      <c r="S3" s="852" t="s">
        <v>117</v>
      </c>
      <c r="T3" s="852"/>
      <c r="U3" s="852"/>
      <c r="V3" s="853"/>
      <c r="W3" s="85" t="s">
        <v>763</v>
      </c>
      <c r="X3" s="84"/>
      <c r="Y3" s="86" t="s">
        <v>116</v>
      </c>
      <c r="AA3" s="28" t="s">
        <v>803</v>
      </c>
      <c r="AC3" s="127" t="s">
        <v>140</v>
      </c>
      <c r="AD3" s="127" t="s">
        <v>142</v>
      </c>
      <c r="AE3" s="127" t="s">
        <v>681</v>
      </c>
      <c r="AF3" s="127" t="s">
        <v>288</v>
      </c>
      <c r="AG3" s="127" t="s">
        <v>778</v>
      </c>
      <c r="AH3" s="127" t="s">
        <v>683</v>
      </c>
      <c r="AI3" s="127"/>
      <c r="AJ3" s="127" t="s">
        <v>802</v>
      </c>
      <c r="AK3" s="127" t="s">
        <v>42</v>
      </c>
    </row>
    <row r="4" spans="2:25" ht="21.75" customHeight="1" thickBot="1">
      <c r="B4" s="122"/>
      <c r="C4" s="123"/>
      <c r="D4" s="124"/>
      <c r="E4" s="137"/>
      <c r="F4" s="405" t="s">
        <v>171</v>
      </c>
      <c r="G4" s="406" t="s">
        <v>115</v>
      </c>
      <c r="H4" s="407" t="s">
        <v>114</v>
      </c>
      <c r="I4" s="620" t="s">
        <v>113</v>
      </c>
      <c r="J4" s="640" t="s">
        <v>112</v>
      </c>
      <c r="K4" s="652"/>
      <c r="L4" s="405" t="s">
        <v>814</v>
      </c>
      <c r="M4" s="406" t="s">
        <v>115</v>
      </c>
      <c r="N4" s="407" t="s">
        <v>114</v>
      </c>
      <c r="O4" s="407" t="s">
        <v>113</v>
      </c>
      <c r="P4" s="407" t="s">
        <v>112</v>
      </c>
      <c r="Q4" s="408" t="s">
        <v>661</v>
      </c>
      <c r="R4" s="228"/>
      <c r="S4" s="200" t="s">
        <v>115</v>
      </c>
      <c r="T4" s="201" t="s">
        <v>114</v>
      </c>
      <c r="U4" s="201" t="s">
        <v>113</v>
      </c>
      <c r="V4" s="202" t="s">
        <v>112</v>
      </c>
      <c r="W4" s="125"/>
      <c r="X4" s="124"/>
      <c r="Y4" s="87"/>
    </row>
    <row r="5" spans="1:36" s="127" customFormat="1" ht="60" customHeight="1" thickBot="1">
      <c r="A5" s="127">
        <v>1</v>
      </c>
      <c r="B5" s="151" t="s">
        <v>65</v>
      </c>
      <c r="C5" s="148" t="s">
        <v>65</v>
      </c>
      <c r="D5" s="37" t="s">
        <v>66</v>
      </c>
      <c r="E5" s="56" t="s">
        <v>67</v>
      </c>
      <c r="F5" s="174">
        <v>15000</v>
      </c>
      <c r="G5" s="410"/>
      <c r="H5" s="410"/>
      <c r="I5" s="410"/>
      <c r="J5" s="661"/>
      <c r="K5" s="668">
        <v>-7500</v>
      </c>
      <c r="L5" s="409">
        <v>20000</v>
      </c>
      <c r="M5" s="410"/>
      <c r="N5" s="410"/>
      <c r="O5" s="410"/>
      <c r="P5" s="410"/>
      <c r="Q5" s="410"/>
      <c r="R5" s="174">
        <v>-10000</v>
      </c>
      <c r="S5" s="629"/>
      <c r="T5" s="163"/>
      <c r="U5" s="163"/>
      <c r="V5" s="164">
        <v>-7500</v>
      </c>
      <c r="W5" s="165"/>
      <c r="X5" s="166"/>
      <c r="Y5" s="126" t="s">
        <v>608</v>
      </c>
      <c r="Z5" s="127" t="s">
        <v>421</v>
      </c>
      <c r="AA5" s="128">
        <f aca="true" t="shared" si="0" ref="AA5:AA36">K5-S5-T5-U5-V5</f>
        <v>0</v>
      </c>
      <c r="AI5" s="210">
        <f aca="true" t="shared" si="1" ref="AI5:AI32">SUM(AC5:AH5)</f>
        <v>0</v>
      </c>
      <c r="AJ5" s="207" t="str">
        <f aca="true" t="shared" si="2" ref="AJ5:AJ32">IF(T5=AI5,"OK","OUT")</f>
        <v>OK</v>
      </c>
    </row>
    <row r="6" spans="2:36" s="127" customFormat="1" ht="30" customHeight="1" thickBot="1">
      <c r="B6" s="167"/>
      <c r="C6" s="69"/>
      <c r="D6" s="57"/>
      <c r="E6" s="57" t="s">
        <v>403</v>
      </c>
      <c r="F6" s="175">
        <f>SUM(F5)</f>
        <v>15000</v>
      </c>
      <c r="G6" s="412"/>
      <c r="H6" s="412"/>
      <c r="I6" s="412"/>
      <c r="J6" s="642"/>
      <c r="K6" s="654">
        <f>SUM(K5)</f>
        <v>-7500</v>
      </c>
      <c r="L6" s="411">
        <f>SUM(L5)</f>
        <v>20000</v>
      </c>
      <c r="M6" s="412"/>
      <c r="N6" s="412"/>
      <c r="O6" s="412"/>
      <c r="P6" s="412"/>
      <c r="Q6" s="412"/>
      <c r="R6" s="175">
        <f>SUM(R5)</f>
        <v>-10000</v>
      </c>
      <c r="S6" s="630">
        <f>SUM(S5)</f>
        <v>0</v>
      </c>
      <c r="T6" s="170">
        <f>SUM(T5)</f>
        <v>0</v>
      </c>
      <c r="U6" s="170">
        <f>SUM(U5)</f>
        <v>0</v>
      </c>
      <c r="V6" s="400">
        <f>SUM(V5)</f>
        <v>-7500</v>
      </c>
      <c r="W6" s="172"/>
      <c r="X6" s="171"/>
      <c r="Y6" s="171"/>
      <c r="AA6" s="128">
        <f t="shared" si="0"/>
        <v>0</v>
      </c>
      <c r="AC6" s="175">
        <f aca="true" t="shared" si="3" ref="AC6:AH6">SUM(AC5)</f>
        <v>0</v>
      </c>
      <c r="AD6" s="175">
        <f t="shared" si="3"/>
        <v>0</v>
      </c>
      <c r="AE6" s="175">
        <f t="shared" si="3"/>
        <v>0</v>
      </c>
      <c r="AF6" s="175">
        <f t="shared" si="3"/>
        <v>0</v>
      </c>
      <c r="AG6" s="175">
        <f t="shared" si="3"/>
        <v>0</v>
      </c>
      <c r="AH6" s="175">
        <f t="shared" si="3"/>
        <v>0</v>
      </c>
      <c r="AI6" s="210">
        <f t="shared" si="1"/>
        <v>0</v>
      </c>
      <c r="AJ6" s="207" t="str">
        <f t="shared" si="2"/>
        <v>OK</v>
      </c>
    </row>
    <row r="7" spans="1:36" ht="45" customHeight="1">
      <c r="A7" s="66">
        <v>2</v>
      </c>
      <c r="B7" s="819" t="s">
        <v>11</v>
      </c>
      <c r="C7" s="158" t="s">
        <v>717</v>
      </c>
      <c r="D7" s="50" t="s">
        <v>718</v>
      </c>
      <c r="E7" s="50"/>
      <c r="F7" s="33">
        <v>677094</v>
      </c>
      <c r="G7" s="414"/>
      <c r="H7" s="414">
        <v>122363</v>
      </c>
      <c r="I7" s="414"/>
      <c r="J7" s="641">
        <v>554731</v>
      </c>
      <c r="K7" s="653">
        <v>-135419</v>
      </c>
      <c r="L7" s="413">
        <v>705223</v>
      </c>
      <c r="M7" s="414"/>
      <c r="N7" s="414">
        <v>122086</v>
      </c>
      <c r="O7" s="414"/>
      <c r="P7" s="414">
        <v>583137</v>
      </c>
      <c r="Q7" s="414"/>
      <c r="R7" s="33">
        <v>-141044</v>
      </c>
      <c r="S7" s="34"/>
      <c r="T7" s="35">
        <v>-24473</v>
      </c>
      <c r="U7" s="35"/>
      <c r="V7" s="155">
        <v>-110946</v>
      </c>
      <c r="W7" s="118"/>
      <c r="X7" s="155"/>
      <c r="Y7" s="142" t="s">
        <v>729</v>
      </c>
      <c r="Z7" s="66" t="s">
        <v>421</v>
      </c>
      <c r="AA7" s="128">
        <f t="shared" si="0"/>
        <v>0</v>
      </c>
      <c r="AH7" s="612">
        <v>-24473</v>
      </c>
      <c r="AI7" s="210">
        <f t="shared" si="1"/>
        <v>-24473</v>
      </c>
      <c r="AJ7" s="207" t="str">
        <f t="shared" si="2"/>
        <v>OK</v>
      </c>
    </row>
    <row r="8" spans="1:36" ht="70.5" customHeight="1">
      <c r="A8" s="66">
        <v>3</v>
      </c>
      <c r="B8" s="820"/>
      <c r="C8" s="94" t="s">
        <v>159</v>
      </c>
      <c r="D8" s="51" t="s">
        <v>693</v>
      </c>
      <c r="E8" s="50" t="s">
        <v>694</v>
      </c>
      <c r="F8" s="33">
        <v>1505038</v>
      </c>
      <c r="G8" s="414"/>
      <c r="H8" s="414">
        <v>6255</v>
      </c>
      <c r="I8" s="414"/>
      <c r="J8" s="641">
        <v>1498783</v>
      </c>
      <c r="K8" s="653">
        <v>-1098030</v>
      </c>
      <c r="L8" s="413">
        <v>1754628</v>
      </c>
      <c r="M8" s="414"/>
      <c r="N8" s="414">
        <v>12628</v>
      </c>
      <c r="O8" s="414"/>
      <c r="P8" s="414">
        <v>1742000</v>
      </c>
      <c r="Q8" s="414"/>
      <c r="R8" s="33">
        <v>-877314</v>
      </c>
      <c r="S8" s="34"/>
      <c r="T8" s="35"/>
      <c r="U8" s="35"/>
      <c r="V8" s="27">
        <v>-1098030</v>
      </c>
      <c r="W8" s="118"/>
      <c r="X8" s="155"/>
      <c r="Y8" s="142" t="s">
        <v>173</v>
      </c>
      <c r="Z8" s="66" t="s">
        <v>421</v>
      </c>
      <c r="AA8" s="128">
        <f t="shared" si="0"/>
        <v>0</v>
      </c>
      <c r="AI8" s="210">
        <f t="shared" si="1"/>
        <v>0</v>
      </c>
      <c r="AJ8" s="207" t="str">
        <f t="shared" si="2"/>
        <v>OK</v>
      </c>
    </row>
    <row r="9" spans="1:36" ht="31.5" customHeight="1">
      <c r="A9" s="66">
        <v>4</v>
      </c>
      <c r="B9" s="434"/>
      <c r="C9" s="90" t="s">
        <v>100</v>
      </c>
      <c r="D9" s="51" t="s">
        <v>99</v>
      </c>
      <c r="E9" s="50" t="s">
        <v>860</v>
      </c>
      <c r="F9" s="33">
        <v>44246</v>
      </c>
      <c r="G9" s="414"/>
      <c r="H9" s="414"/>
      <c r="I9" s="414"/>
      <c r="J9" s="641">
        <v>44246</v>
      </c>
      <c r="K9" s="653">
        <v>-44246</v>
      </c>
      <c r="L9" s="413">
        <v>44246</v>
      </c>
      <c r="M9" s="414"/>
      <c r="N9" s="414"/>
      <c r="O9" s="414"/>
      <c r="P9" s="414"/>
      <c r="Q9" s="414"/>
      <c r="R9" s="33">
        <v>-44246</v>
      </c>
      <c r="S9" s="34"/>
      <c r="T9" s="35"/>
      <c r="U9" s="35"/>
      <c r="V9" s="27">
        <v>-44246</v>
      </c>
      <c r="W9" s="154" t="s">
        <v>731</v>
      </c>
      <c r="X9" s="155"/>
      <c r="Y9" s="142" t="s">
        <v>731</v>
      </c>
      <c r="Z9" s="66" t="s">
        <v>421</v>
      </c>
      <c r="AA9" s="128">
        <f t="shared" si="0"/>
        <v>0</v>
      </c>
      <c r="AI9" s="210">
        <f t="shared" si="1"/>
        <v>0</v>
      </c>
      <c r="AJ9" s="207" t="str">
        <f t="shared" si="2"/>
        <v>OK</v>
      </c>
    </row>
    <row r="10" spans="1:37" ht="43.5" customHeight="1">
      <c r="A10" s="66">
        <v>5</v>
      </c>
      <c r="B10" s="89"/>
      <c r="C10" s="91"/>
      <c r="D10" s="56"/>
      <c r="E10" s="50" t="s">
        <v>111</v>
      </c>
      <c r="F10" s="33">
        <v>63983</v>
      </c>
      <c r="G10" s="414"/>
      <c r="H10" s="414">
        <v>8787</v>
      </c>
      <c r="I10" s="414"/>
      <c r="J10" s="641">
        <f>F10-H10</f>
        <v>55196</v>
      </c>
      <c r="K10" s="653">
        <v>-63983</v>
      </c>
      <c r="L10" s="413">
        <v>65239</v>
      </c>
      <c r="M10" s="414"/>
      <c r="N10" s="414"/>
      <c r="O10" s="414"/>
      <c r="P10" s="414"/>
      <c r="Q10" s="414"/>
      <c r="R10" s="33">
        <v>-65239</v>
      </c>
      <c r="S10" s="34"/>
      <c r="T10" s="35">
        <v>-8787</v>
      </c>
      <c r="U10" s="35"/>
      <c r="V10" s="27">
        <v>-55196</v>
      </c>
      <c r="W10" s="154" t="s">
        <v>69</v>
      </c>
      <c r="X10" s="155"/>
      <c r="Y10" s="142" t="s">
        <v>755</v>
      </c>
      <c r="Z10" s="66" t="s">
        <v>421</v>
      </c>
      <c r="AA10" s="128">
        <f t="shared" si="0"/>
        <v>0</v>
      </c>
      <c r="AH10" s="612">
        <v>-8787</v>
      </c>
      <c r="AI10" s="210">
        <f t="shared" si="1"/>
        <v>-8787</v>
      </c>
      <c r="AJ10" s="207" t="str">
        <f t="shared" si="2"/>
        <v>OK</v>
      </c>
      <c r="AK10" s="612">
        <v>-8787</v>
      </c>
    </row>
    <row r="11" spans="1:36" ht="39.75" customHeight="1">
      <c r="A11" s="66">
        <v>6</v>
      </c>
      <c r="B11" s="89"/>
      <c r="C11" s="91"/>
      <c r="D11" s="56"/>
      <c r="E11" s="50" t="s">
        <v>418</v>
      </c>
      <c r="F11" s="33">
        <v>123595</v>
      </c>
      <c r="G11" s="414"/>
      <c r="H11" s="414"/>
      <c r="I11" s="414"/>
      <c r="J11" s="641">
        <v>123595</v>
      </c>
      <c r="K11" s="653">
        <v>-123595</v>
      </c>
      <c r="L11" s="413">
        <v>124534</v>
      </c>
      <c r="M11" s="414"/>
      <c r="N11" s="414"/>
      <c r="O11" s="414"/>
      <c r="P11" s="414"/>
      <c r="Q11" s="414"/>
      <c r="R11" s="33">
        <v>-124534</v>
      </c>
      <c r="S11" s="34"/>
      <c r="T11" s="35"/>
      <c r="U11" s="35"/>
      <c r="V11" s="27">
        <v>-123595</v>
      </c>
      <c r="W11" s="154" t="s">
        <v>692</v>
      </c>
      <c r="X11" s="155"/>
      <c r="Y11" s="142" t="s">
        <v>692</v>
      </c>
      <c r="Z11" s="66" t="s">
        <v>421</v>
      </c>
      <c r="AA11" s="128">
        <f t="shared" si="0"/>
        <v>0</v>
      </c>
      <c r="AH11" s="62"/>
      <c r="AI11" s="210">
        <f t="shared" si="1"/>
        <v>0</v>
      </c>
      <c r="AJ11" s="207" t="str">
        <f t="shared" si="2"/>
        <v>OK</v>
      </c>
    </row>
    <row r="12" spans="1:36" ht="31.5" customHeight="1">
      <c r="A12" s="66">
        <v>7</v>
      </c>
      <c r="B12" s="89"/>
      <c r="C12" s="91"/>
      <c r="D12" s="56"/>
      <c r="E12" s="50" t="s">
        <v>861</v>
      </c>
      <c r="F12" s="33">
        <v>61458</v>
      </c>
      <c r="G12" s="414"/>
      <c r="H12" s="414"/>
      <c r="I12" s="414"/>
      <c r="J12" s="641">
        <v>61458</v>
      </c>
      <c r="K12" s="653">
        <v>-61458</v>
      </c>
      <c r="L12" s="413">
        <v>62073</v>
      </c>
      <c r="M12" s="414"/>
      <c r="N12" s="414"/>
      <c r="O12" s="414"/>
      <c r="P12" s="414"/>
      <c r="Q12" s="414"/>
      <c r="R12" s="33">
        <v>-62073</v>
      </c>
      <c r="S12" s="34"/>
      <c r="T12" s="35"/>
      <c r="U12" s="35"/>
      <c r="V12" s="27">
        <v>-61458</v>
      </c>
      <c r="W12" s="154" t="s">
        <v>692</v>
      </c>
      <c r="X12" s="155"/>
      <c r="Y12" s="142" t="s">
        <v>692</v>
      </c>
      <c r="Z12" s="66" t="s">
        <v>421</v>
      </c>
      <c r="AA12" s="128">
        <f t="shared" si="0"/>
        <v>0</v>
      </c>
      <c r="AI12" s="210">
        <f t="shared" si="1"/>
        <v>0</v>
      </c>
      <c r="AJ12" s="207" t="str">
        <f t="shared" si="2"/>
        <v>OK</v>
      </c>
    </row>
    <row r="13" spans="1:36" ht="31.5" customHeight="1">
      <c r="A13" s="66">
        <v>8</v>
      </c>
      <c r="B13" s="89"/>
      <c r="C13" s="92"/>
      <c r="D13" s="50"/>
      <c r="E13" s="50" t="s">
        <v>730</v>
      </c>
      <c r="F13" s="33">
        <v>352256</v>
      </c>
      <c r="G13" s="414"/>
      <c r="H13" s="414"/>
      <c r="I13" s="414"/>
      <c r="J13" s="641">
        <v>352256</v>
      </c>
      <c r="K13" s="653">
        <v>-352256</v>
      </c>
      <c r="L13" s="413">
        <v>356121</v>
      </c>
      <c r="M13" s="414"/>
      <c r="N13" s="414"/>
      <c r="O13" s="414"/>
      <c r="P13" s="414"/>
      <c r="Q13" s="414"/>
      <c r="R13" s="33">
        <v>-356121</v>
      </c>
      <c r="S13" s="34"/>
      <c r="T13" s="35"/>
      <c r="U13" s="35"/>
      <c r="V13" s="27">
        <v>-352256</v>
      </c>
      <c r="W13" s="154" t="s">
        <v>692</v>
      </c>
      <c r="X13" s="155"/>
      <c r="Y13" s="142" t="s">
        <v>692</v>
      </c>
      <c r="Z13" s="66" t="s">
        <v>421</v>
      </c>
      <c r="AA13" s="128">
        <f t="shared" si="0"/>
        <v>0</v>
      </c>
      <c r="AI13" s="210">
        <f t="shared" si="1"/>
        <v>0</v>
      </c>
      <c r="AJ13" s="207" t="str">
        <f t="shared" si="2"/>
        <v>OK</v>
      </c>
    </row>
    <row r="14" spans="1:37" ht="46.5" customHeight="1">
      <c r="A14" s="66">
        <v>9</v>
      </c>
      <c r="B14" s="89"/>
      <c r="C14" s="93" t="s">
        <v>110</v>
      </c>
      <c r="D14" s="50" t="s">
        <v>109</v>
      </c>
      <c r="E14" s="50" t="s">
        <v>695</v>
      </c>
      <c r="F14" s="33">
        <v>673000</v>
      </c>
      <c r="G14" s="414"/>
      <c r="H14" s="414">
        <v>673000</v>
      </c>
      <c r="I14" s="414"/>
      <c r="J14" s="641"/>
      <c r="K14" s="653">
        <v>-673000</v>
      </c>
      <c r="L14" s="413">
        <v>1041000</v>
      </c>
      <c r="M14" s="414"/>
      <c r="N14" s="414"/>
      <c r="O14" s="414"/>
      <c r="P14" s="414"/>
      <c r="Q14" s="414"/>
      <c r="R14" s="33">
        <v>-1041000</v>
      </c>
      <c r="S14" s="34"/>
      <c r="T14" s="35">
        <v>-673000</v>
      </c>
      <c r="U14" s="35"/>
      <c r="V14" s="27"/>
      <c r="W14" s="154" t="s">
        <v>68</v>
      </c>
      <c r="X14" s="155"/>
      <c r="Y14" s="142" t="s">
        <v>756</v>
      </c>
      <c r="Z14" s="66" t="s">
        <v>421</v>
      </c>
      <c r="AA14" s="128">
        <f t="shared" si="0"/>
        <v>0</v>
      </c>
      <c r="AH14" s="612">
        <v>-673000</v>
      </c>
      <c r="AI14" s="210">
        <f t="shared" si="1"/>
        <v>-673000</v>
      </c>
      <c r="AJ14" s="207" t="str">
        <f t="shared" si="2"/>
        <v>OK</v>
      </c>
      <c r="AK14" s="612">
        <v>-673000</v>
      </c>
    </row>
    <row r="15" spans="1:36" ht="31.5" customHeight="1">
      <c r="A15" s="66">
        <v>10</v>
      </c>
      <c r="B15" s="89"/>
      <c r="C15" s="90" t="s">
        <v>108</v>
      </c>
      <c r="D15" s="38" t="s">
        <v>107</v>
      </c>
      <c r="E15" s="50" t="s">
        <v>105</v>
      </c>
      <c r="F15" s="33">
        <v>208776</v>
      </c>
      <c r="G15" s="414"/>
      <c r="H15" s="414">
        <v>43850</v>
      </c>
      <c r="I15" s="414"/>
      <c r="J15" s="641">
        <f>F15-H15</f>
        <v>164926</v>
      </c>
      <c r="K15" s="653">
        <v>-104388</v>
      </c>
      <c r="L15" s="413">
        <v>221961</v>
      </c>
      <c r="M15" s="414"/>
      <c r="N15" s="414">
        <v>44139</v>
      </c>
      <c r="O15" s="414"/>
      <c r="P15" s="414">
        <v>177822</v>
      </c>
      <c r="Q15" s="414"/>
      <c r="R15" s="33">
        <v>-110981</v>
      </c>
      <c r="S15" s="34"/>
      <c r="T15" s="35">
        <v>-21925</v>
      </c>
      <c r="U15" s="35"/>
      <c r="V15" s="155">
        <v>-82463</v>
      </c>
      <c r="W15" s="118"/>
      <c r="X15" s="155"/>
      <c r="Y15" s="142" t="s">
        <v>809</v>
      </c>
      <c r="Z15" s="66" t="s">
        <v>421</v>
      </c>
      <c r="AA15" s="128">
        <f t="shared" si="0"/>
        <v>0</v>
      </c>
      <c r="AG15" s="612">
        <v>-21925</v>
      </c>
      <c r="AI15" s="210">
        <f t="shared" si="1"/>
        <v>-21925</v>
      </c>
      <c r="AJ15" s="207" t="str">
        <f t="shared" si="2"/>
        <v>OK</v>
      </c>
    </row>
    <row r="16" spans="1:36" ht="31.5" customHeight="1">
      <c r="A16" s="66">
        <v>11</v>
      </c>
      <c r="B16" s="89"/>
      <c r="C16" s="93" t="s">
        <v>104</v>
      </c>
      <c r="D16" s="50" t="s">
        <v>101</v>
      </c>
      <c r="E16" s="50"/>
      <c r="F16" s="33">
        <v>1050</v>
      </c>
      <c r="G16" s="414">
        <v>1050</v>
      </c>
      <c r="H16" s="414"/>
      <c r="I16" s="414"/>
      <c r="J16" s="641"/>
      <c r="K16" s="653">
        <v>-1050</v>
      </c>
      <c r="L16" s="413">
        <v>1223</v>
      </c>
      <c r="M16" s="414"/>
      <c r="N16" s="414"/>
      <c r="O16" s="414"/>
      <c r="P16" s="414"/>
      <c r="Q16" s="414"/>
      <c r="R16" s="33">
        <v>-1223</v>
      </c>
      <c r="S16" s="34">
        <v>-1050</v>
      </c>
      <c r="T16" s="35"/>
      <c r="U16" s="35"/>
      <c r="V16" s="27"/>
      <c r="W16" s="118"/>
      <c r="X16" s="155"/>
      <c r="Y16" s="142"/>
      <c r="Z16" s="66" t="s">
        <v>421</v>
      </c>
      <c r="AA16" s="128">
        <f t="shared" si="0"/>
        <v>0</v>
      </c>
      <c r="AI16" s="210">
        <f t="shared" si="1"/>
        <v>0</v>
      </c>
      <c r="AJ16" s="207" t="str">
        <f t="shared" si="2"/>
        <v>OK</v>
      </c>
    </row>
    <row r="17" spans="1:36" ht="40.5" customHeight="1">
      <c r="A17" s="66">
        <v>12</v>
      </c>
      <c r="B17" s="89"/>
      <c r="C17" s="90" t="s">
        <v>388</v>
      </c>
      <c r="D17" s="56" t="s">
        <v>8</v>
      </c>
      <c r="E17" s="50" t="s">
        <v>9</v>
      </c>
      <c r="F17" s="33">
        <v>4517502</v>
      </c>
      <c r="G17" s="414"/>
      <c r="H17" s="414"/>
      <c r="I17" s="414"/>
      <c r="J17" s="641">
        <v>4517502</v>
      </c>
      <c r="K17" s="653">
        <v>-6000</v>
      </c>
      <c r="L17" s="413">
        <v>5380741</v>
      </c>
      <c r="M17" s="414"/>
      <c r="N17" s="414"/>
      <c r="O17" s="414"/>
      <c r="P17" s="414"/>
      <c r="Q17" s="414"/>
      <c r="R17" s="33">
        <v>-6000</v>
      </c>
      <c r="S17" s="34"/>
      <c r="T17" s="35"/>
      <c r="U17" s="35"/>
      <c r="V17" s="27">
        <v>-6000</v>
      </c>
      <c r="W17" s="118"/>
      <c r="X17" s="155"/>
      <c r="Y17" s="142" t="s">
        <v>176</v>
      </c>
      <c r="Z17" s="66" t="s">
        <v>421</v>
      </c>
      <c r="AA17" s="128">
        <f t="shared" si="0"/>
        <v>0</v>
      </c>
      <c r="AI17" s="210">
        <f t="shared" si="1"/>
        <v>0</v>
      </c>
      <c r="AJ17" s="207" t="str">
        <f t="shared" si="2"/>
        <v>OK</v>
      </c>
    </row>
    <row r="18" spans="1:36" ht="34.5" customHeight="1">
      <c r="A18" s="66">
        <v>13</v>
      </c>
      <c r="B18" s="89"/>
      <c r="C18" s="91"/>
      <c r="D18" s="51" t="s">
        <v>389</v>
      </c>
      <c r="E18" s="38" t="s">
        <v>390</v>
      </c>
      <c r="F18" s="33">
        <v>3000</v>
      </c>
      <c r="G18" s="414"/>
      <c r="H18" s="414"/>
      <c r="I18" s="414"/>
      <c r="J18" s="641">
        <v>3000</v>
      </c>
      <c r="K18" s="653">
        <v>-3000</v>
      </c>
      <c r="L18" s="413">
        <v>2975</v>
      </c>
      <c r="M18" s="414"/>
      <c r="N18" s="414"/>
      <c r="O18" s="414"/>
      <c r="P18" s="414"/>
      <c r="Q18" s="414"/>
      <c r="R18" s="33">
        <v>-2975</v>
      </c>
      <c r="S18" s="34"/>
      <c r="T18" s="35"/>
      <c r="U18" s="35"/>
      <c r="V18" s="27">
        <v>-3000</v>
      </c>
      <c r="W18" s="118"/>
      <c r="X18" s="155"/>
      <c r="Y18" s="142"/>
      <c r="Z18" s="66" t="s">
        <v>421</v>
      </c>
      <c r="AA18" s="128">
        <f t="shared" si="0"/>
        <v>0</v>
      </c>
      <c r="AI18" s="210">
        <f t="shared" si="1"/>
        <v>0</v>
      </c>
      <c r="AJ18" s="207" t="str">
        <f t="shared" si="2"/>
        <v>OK</v>
      </c>
    </row>
    <row r="19" spans="1:36" ht="31.5" customHeight="1">
      <c r="A19" s="66">
        <v>14</v>
      </c>
      <c r="B19" s="89"/>
      <c r="C19" s="91"/>
      <c r="D19" s="50"/>
      <c r="E19" s="38" t="s">
        <v>391</v>
      </c>
      <c r="F19" s="33">
        <v>1086</v>
      </c>
      <c r="G19" s="414"/>
      <c r="H19" s="414"/>
      <c r="I19" s="414"/>
      <c r="J19" s="641">
        <v>1086</v>
      </c>
      <c r="K19" s="653">
        <v>-1086</v>
      </c>
      <c r="L19" s="413">
        <v>1240</v>
      </c>
      <c r="M19" s="414"/>
      <c r="N19" s="414"/>
      <c r="O19" s="414"/>
      <c r="P19" s="414"/>
      <c r="Q19" s="414"/>
      <c r="R19" s="33">
        <v>-1240</v>
      </c>
      <c r="S19" s="34"/>
      <c r="T19" s="35"/>
      <c r="U19" s="35"/>
      <c r="V19" s="27">
        <v>-1086</v>
      </c>
      <c r="W19" s="118"/>
      <c r="X19" s="155"/>
      <c r="Y19" s="142"/>
      <c r="Z19" s="66" t="s">
        <v>421</v>
      </c>
      <c r="AA19" s="128">
        <f t="shared" si="0"/>
        <v>0</v>
      </c>
      <c r="AI19" s="210">
        <f t="shared" si="1"/>
        <v>0</v>
      </c>
      <c r="AJ19" s="207" t="str">
        <f t="shared" si="2"/>
        <v>OK</v>
      </c>
    </row>
    <row r="20" spans="1:36" ht="31.5" customHeight="1">
      <c r="A20" s="66">
        <v>15</v>
      </c>
      <c r="B20" s="89"/>
      <c r="C20" s="90" t="s">
        <v>70</v>
      </c>
      <c r="D20" s="51" t="s">
        <v>71</v>
      </c>
      <c r="E20" s="38" t="s">
        <v>447</v>
      </c>
      <c r="F20" s="33">
        <v>3592</v>
      </c>
      <c r="G20" s="414"/>
      <c r="H20" s="414"/>
      <c r="I20" s="414"/>
      <c r="J20" s="641">
        <v>3592</v>
      </c>
      <c r="K20" s="653">
        <v>-3592</v>
      </c>
      <c r="L20" s="413">
        <v>3592</v>
      </c>
      <c r="M20" s="414"/>
      <c r="N20" s="414"/>
      <c r="O20" s="414"/>
      <c r="P20" s="414"/>
      <c r="Q20" s="414"/>
      <c r="R20" s="33">
        <v>-3592</v>
      </c>
      <c r="S20" s="34"/>
      <c r="T20" s="35"/>
      <c r="U20" s="35"/>
      <c r="V20" s="27">
        <v>-3592</v>
      </c>
      <c r="W20" s="154"/>
      <c r="X20" s="155"/>
      <c r="Y20" s="38" t="s">
        <v>238</v>
      </c>
      <c r="Z20" s="66" t="s">
        <v>421</v>
      </c>
      <c r="AA20" s="128">
        <f t="shared" si="0"/>
        <v>0</v>
      </c>
      <c r="AH20" s="76"/>
      <c r="AI20" s="210">
        <f t="shared" si="1"/>
        <v>0</v>
      </c>
      <c r="AJ20" s="207" t="str">
        <f t="shared" si="2"/>
        <v>OK</v>
      </c>
    </row>
    <row r="21" spans="1:36" ht="31.5" customHeight="1">
      <c r="A21" s="66">
        <v>16</v>
      </c>
      <c r="B21" s="89"/>
      <c r="C21" s="91"/>
      <c r="D21" s="38" t="s">
        <v>732</v>
      </c>
      <c r="E21" s="38" t="s">
        <v>733</v>
      </c>
      <c r="F21" s="33">
        <v>620719</v>
      </c>
      <c r="G21" s="414"/>
      <c r="H21" s="414"/>
      <c r="I21" s="414"/>
      <c r="J21" s="641">
        <v>620719</v>
      </c>
      <c r="K21" s="653">
        <v>-310359</v>
      </c>
      <c r="L21" s="413">
        <v>620597</v>
      </c>
      <c r="M21" s="414"/>
      <c r="N21" s="414"/>
      <c r="O21" s="414"/>
      <c r="P21" s="414"/>
      <c r="Q21" s="414"/>
      <c r="R21" s="33">
        <v>-310298</v>
      </c>
      <c r="S21" s="34"/>
      <c r="T21" s="35"/>
      <c r="U21" s="35"/>
      <c r="V21" s="27">
        <v>-310359</v>
      </c>
      <c r="W21" s="118"/>
      <c r="X21" s="155"/>
      <c r="Y21" s="129" t="s">
        <v>381</v>
      </c>
      <c r="Z21" s="66" t="s">
        <v>421</v>
      </c>
      <c r="AA21" s="128">
        <f t="shared" si="0"/>
        <v>0</v>
      </c>
      <c r="AI21" s="210">
        <f t="shared" si="1"/>
        <v>0</v>
      </c>
      <c r="AJ21" s="207" t="str">
        <f t="shared" si="2"/>
        <v>OK</v>
      </c>
    </row>
    <row r="22" spans="1:36" ht="31.5" customHeight="1">
      <c r="A22" s="66">
        <v>17</v>
      </c>
      <c r="B22" s="89"/>
      <c r="C22" s="92"/>
      <c r="D22" s="50" t="s">
        <v>736</v>
      </c>
      <c r="E22" s="50" t="s">
        <v>737</v>
      </c>
      <c r="F22" s="33">
        <v>115291</v>
      </c>
      <c r="G22" s="414">
        <v>51880</v>
      </c>
      <c r="H22" s="414"/>
      <c r="I22" s="414"/>
      <c r="J22" s="641">
        <f>F22-G22</f>
        <v>63411</v>
      </c>
      <c r="K22" s="653">
        <v>-57645</v>
      </c>
      <c r="L22" s="413">
        <v>66796</v>
      </c>
      <c r="M22" s="414"/>
      <c r="N22" s="414"/>
      <c r="O22" s="414"/>
      <c r="P22" s="414"/>
      <c r="Q22" s="414"/>
      <c r="R22" s="33">
        <v>-34000</v>
      </c>
      <c r="S22" s="34">
        <v>-25940</v>
      </c>
      <c r="T22" s="35"/>
      <c r="U22" s="35"/>
      <c r="V22" s="27">
        <v>-31705</v>
      </c>
      <c r="W22" s="118"/>
      <c r="X22" s="155"/>
      <c r="Y22" s="142" t="s">
        <v>386</v>
      </c>
      <c r="Z22" s="66" t="s">
        <v>421</v>
      </c>
      <c r="AA22" s="128">
        <f t="shared" si="0"/>
        <v>0</v>
      </c>
      <c r="AI22" s="210">
        <f t="shared" si="1"/>
        <v>0</v>
      </c>
      <c r="AJ22" s="207" t="str">
        <f t="shared" si="2"/>
        <v>OK</v>
      </c>
    </row>
    <row r="23" spans="1:36" ht="36" customHeight="1">
      <c r="A23" s="66">
        <v>18</v>
      </c>
      <c r="B23" s="89"/>
      <c r="C23" s="90" t="s">
        <v>125</v>
      </c>
      <c r="D23" s="51" t="s">
        <v>126</v>
      </c>
      <c r="E23" s="50" t="s">
        <v>127</v>
      </c>
      <c r="F23" s="33">
        <v>194550</v>
      </c>
      <c r="G23" s="414"/>
      <c r="H23" s="414"/>
      <c r="I23" s="414"/>
      <c r="J23" s="641">
        <v>194550</v>
      </c>
      <c r="K23" s="653">
        <v>-194550</v>
      </c>
      <c r="L23" s="413">
        <v>187443</v>
      </c>
      <c r="M23" s="414"/>
      <c r="N23" s="414"/>
      <c r="O23" s="414"/>
      <c r="P23" s="414"/>
      <c r="Q23" s="414"/>
      <c r="R23" s="33">
        <v>-187443</v>
      </c>
      <c r="S23" s="34"/>
      <c r="T23" s="35"/>
      <c r="U23" s="35"/>
      <c r="V23" s="27">
        <v>-194550</v>
      </c>
      <c r="W23" s="154"/>
      <c r="X23" s="155"/>
      <c r="Y23" s="153"/>
      <c r="Z23" s="66" t="s">
        <v>421</v>
      </c>
      <c r="AA23" s="128">
        <f t="shared" si="0"/>
        <v>0</v>
      </c>
      <c r="AE23" s="35"/>
      <c r="AF23" s="35"/>
      <c r="AG23" s="35"/>
      <c r="AH23" s="76">
        <f>T23-AB23-AC23-AD23-AE23-AG23</f>
        <v>0</v>
      </c>
      <c r="AI23" s="210">
        <f t="shared" si="1"/>
        <v>0</v>
      </c>
      <c r="AJ23" s="207" t="str">
        <f t="shared" si="2"/>
        <v>OK</v>
      </c>
    </row>
    <row r="24" spans="1:36" ht="55.5" customHeight="1">
      <c r="A24" s="66">
        <v>19</v>
      </c>
      <c r="B24" s="89"/>
      <c r="C24" s="94" t="s">
        <v>102</v>
      </c>
      <c r="D24" s="51" t="s">
        <v>103</v>
      </c>
      <c r="E24" s="50" t="s">
        <v>617</v>
      </c>
      <c r="F24" s="33">
        <v>2688590</v>
      </c>
      <c r="G24" s="414"/>
      <c r="H24" s="414">
        <v>2688590</v>
      </c>
      <c r="I24" s="414"/>
      <c r="J24" s="641"/>
      <c r="K24" s="653">
        <v>-1098030</v>
      </c>
      <c r="L24" s="413">
        <v>2552092</v>
      </c>
      <c r="M24" s="414"/>
      <c r="N24" s="414"/>
      <c r="O24" s="414"/>
      <c r="P24" s="414"/>
      <c r="Q24" s="414"/>
      <c r="R24" s="33">
        <v>-877314</v>
      </c>
      <c r="S24" s="34"/>
      <c r="T24" s="35">
        <v>-1098030</v>
      </c>
      <c r="U24" s="35"/>
      <c r="V24" s="27"/>
      <c r="W24" s="118"/>
      <c r="X24" s="155"/>
      <c r="Y24" s="142" t="s">
        <v>492</v>
      </c>
      <c r="Z24" s="66" t="s">
        <v>421</v>
      </c>
      <c r="AA24" s="128">
        <f t="shared" si="0"/>
        <v>0</v>
      </c>
      <c r="AG24" s="612">
        <v>-1098030</v>
      </c>
      <c r="AI24" s="210">
        <f t="shared" si="1"/>
        <v>-1098030</v>
      </c>
      <c r="AJ24" s="207" t="str">
        <f t="shared" si="2"/>
        <v>OK</v>
      </c>
    </row>
    <row r="25" spans="1:36" ht="31.5" customHeight="1">
      <c r="A25" s="66">
        <v>20</v>
      </c>
      <c r="B25" s="89"/>
      <c r="C25" s="90" t="s">
        <v>128</v>
      </c>
      <c r="D25" s="51" t="s">
        <v>129</v>
      </c>
      <c r="E25" s="50" t="s">
        <v>734</v>
      </c>
      <c r="F25" s="33">
        <v>171</v>
      </c>
      <c r="G25" s="414"/>
      <c r="H25" s="414"/>
      <c r="I25" s="414"/>
      <c r="J25" s="641">
        <v>171</v>
      </c>
      <c r="K25" s="653">
        <v>-171</v>
      </c>
      <c r="L25" s="413">
        <v>5034</v>
      </c>
      <c r="M25" s="414"/>
      <c r="N25" s="414"/>
      <c r="O25" s="414"/>
      <c r="P25" s="414"/>
      <c r="Q25" s="414"/>
      <c r="R25" s="33">
        <v>-5034</v>
      </c>
      <c r="S25" s="34"/>
      <c r="T25" s="35"/>
      <c r="U25" s="35"/>
      <c r="V25" s="27">
        <v>-171</v>
      </c>
      <c r="W25" s="118"/>
      <c r="X25" s="155"/>
      <c r="Y25" s="142"/>
      <c r="Z25" s="66" t="s">
        <v>421</v>
      </c>
      <c r="AA25" s="128">
        <f t="shared" si="0"/>
        <v>0</v>
      </c>
      <c r="AI25" s="210">
        <f t="shared" si="1"/>
        <v>0</v>
      </c>
      <c r="AJ25" s="207" t="str">
        <f t="shared" si="2"/>
        <v>OK</v>
      </c>
    </row>
    <row r="26" spans="1:37" ht="43.5" customHeight="1" thickBot="1">
      <c r="A26" s="66">
        <v>21</v>
      </c>
      <c r="B26" s="89"/>
      <c r="C26" s="91"/>
      <c r="D26" s="56"/>
      <c r="E26" s="38" t="s">
        <v>706</v>
      </c>
      <c r="F26" s="26">
        <v>34546</v>
      </c>
      <c r="G26" s="416"/>
      <c r="H26" s="416">
        <v>14124</v>
      </c>
      <c r="I26" s="416"/>
      <c r="J26" s="644">
        <f>F26-H26</f>
        <v>20422</v>
      </c>
      <c r="K26" s="656">
        <v>-34546</v>
      </c>
      <c r="L26" s="415">
        <v>35802</v>
      </c>
      <c r="M26" s="416"/>
      <c r="N26" s="416"/>
      <c r="O26" s="416"/>
      <c r="P26" s="416"/>
      <c r="Q26" s="416"/>
      <c r="R26" s="26">
        <v>-35802</v>
      </c>
      <c r="S26" s="47"/>
      <c r="T26" s="48">
        <v>-14124</v>
      </c>
      <c r="U26" s="48"/>
      <c r="V26" s="49">
        <v>-20422</v>
      </c>
      <c r="W26" s="119"/>
      <c r="X26" s="149"/>
      <c r="Y26" s="129" t="s">
        <v>175</v>
      </c>
      <c r="Z26" s="66" t="s">
        <v>421</v>
      </c>
      <c r="AA26" s="128">
        <f t="shared" si="0"/>
        <v>0</v>
      </c>
      <c r="AG26" s="614">
        <v>-14124</v>
      </c>
      <c r="AI26" s="210">
        <f t="shared" si="1"/>
        <v>-14124</v>
      </c>
      <c r="AJ26" s="207" t="str">
        <f t="shared" si="2"/>
        <v>OK</v>
      </c>
      <c r="AK26" s="614">
        <v>-14124</v>
      </c>
    </row>
    <row r="27" spans="2:36" ht="31.5" customHeight="1" thickBot="1">
      <c r="B27" s="95"/>
      <c r="C27" s="96"/>
      <c r="D27" s="57"/>
      <c r="E27" s="57" t="s">
        <v>403</v>
      </c>
      <c r="F27" s="59">
        <f aca="true" t="shared" si="4" ref="F27:P27">SUM(F7:F26)</f>
        <v>11889543</v>
      </c>
      <c r="G27" s="373">
        <f t="shared" si="4"/>
        <v>52930</v>
      </c>
      <c r="H27" s="373">
        <f t="shared" si="4"/>
        <v>3556969</v>
      </c>
      <c r="I27" s="373">
        <f t="shared" si="4"/>
        <v>0</v>
      </c>
      <c r="J27" s="662">
        <f t="shared" si="4"/>
        <v>8279644</v>
      </c>
      <c r="K27" s="669">
        <f t="shared" si="4"/>
        <v>-4366404</v>
      </c>
      <c r="L27" s="419">
        <f t="shared" si="4"/>
        <v>13232560</v>
      </c>
      <c r="M27" s="373">
        <f t="shared" si="4"/>
        <v>0</v>
      </c>
      <c r="N27" s="373">
        <f t="shared" si="4"/>
        <v>178853</v>
      </c>
      <c r="O27" s="373">
        <f t="shared" si="4"/>
        <v>0</v>
      </c>
      <c r="P27" s="373">
        <f t="shared" si="4"/>
        <v>2502959</v>
      </c>
      <c r="Q27" s="373"/>
      <c r="R27" s="59">
        <f>SUM(R7:R26)</f>
        <v>-4287473</v>
      </c>
      <c r="S27" s="68">
        <f>SUM(S7:S26)</f>
        <v>-26990</v>
      </c>
      <c r="T27" s="61">
        <f>SUM(T7:T26)</f>
        <v>-1840339</v>
      </c>
      <c r="U27" s="61">
        <f>SUM(U7:U26)</f>
        <v>0</v>
      </c>
      <c r="V27" s="64">
        <f>SUM(V7:V26)</f>
        <v>-2499075</v>
      </c>
      <c r="W27" s="68"/>
      <c r="X27" s="64"/>
      <c r="Y27" s="144"/>
      <c r="AA27" s="128">
        <f t="shared" si="0"/>
        <v>0</v>
      </c>
      <c r="AC27" s="59">
        <f aca="true" t="shared" si="5" ref="AC27:AH27">SUM(AC7:AC26)</f>
        <v>0</v>
      </c>
      <c r="AD27" s="59">
        <f t="shared" si="5"/>
        <v>0</v>
      </c>
      <c r="AE27" s="59">
        <f t="shared" si="5"/>
        <v>0</v>
      </c>
      <c r="AF27" s="59">
        <f t="shared" si="5"/>
        <v>0</v>
      </c>
      <c r="AG27" s="59">
        <f t="shared" si="5"/>
        <v>-1134079</v>
      </c>
      <c r="AH27" s="59">
        <f t="shared" si="5"/>
        <v>-706260</v>
      </c>
      <c r="AI27" s="210">
        <f t="shared" si="1"/>
        <v>-1840339</v>
      </c>
      <c r="AJ27" s="207" t="str">
        <f t="shared" si="2"/>
        <v>OK</v>
      </c>
    </row>
    <row r="28" spans="1:36" ht="31.5" customHeight="1">
      <c r="A28" s="66">
        <v>22</v>
      </c>
      <c r="B28" s="89" t="s">
        <v>438</v>
      </c>
      <c r="C28" s="91" t="s">
        <v>439</v>
      </c>
      <c r="D28" s="51" t="s">
        <v>454</v>
      </c>
      <c r="E28" s="50" t="s">
        <v>455</v>
      </c>
      <c r="F28" s="33">
        <v>416378</v>
      </c>
      <c r="G28" s="414">
        <v>276652</v>
      </c>
      <c r="H28" s="414"/>
      <c r="I28" s="414"/>
      <c r="J28" s="641">
        <v>137729</v>
      </c>
      <c r="K28" s="653">
        <v>-416378</v>
      </c>
      <c r="L28" s="413">
        <v>422339</v>
      </c>
      <c r="M28" s="414">
        <f>L28*2/3</f>
        <v>281559.3333333333</v>
      </c>
      <c r="N28" s="414"/>
      <c r="O28" s="414"/>
      <c r="P28" s="414">
        <f>L28*1/3</f>
        <v>140779.66666666666</v>
      </c>
      <c r="Q28" s="414"/>
      <c r="R28" s="33">
        <v>-416378</v>
      </c>
      <c r="S28" s="34">
        <v>-276652</v>
      </c>
      <c r="T28" s="35"/>
      <c r="U28" s="35"/>
      <c r="V28" s="27">
        <v>-139726</v>
      </c>
      <c r="W28" s="118"/>
      <c r="X28" s="155"/>
      <c r="Y28" s="142"/>
      <c r="Z28" s="66" t="s">
        <v>752</v>
      </c>
      <c r="AA28" s="128">
        <f t="shared" si="0"/>
        <v>0</v>
      </c>
      <c r="AI28" s="210">
        <f t="shared" si="1"/>
        <v>0</v>
      </c>
      <c r="AJ28" s="207" t="str">
        <f t="shared" si="2"/>
        <v>OK</v>
      </c>
    </row>
    <row r="29" spans="1:36" ht="31.5" customHeight="1">
      <c r="A29" s="66">
        <v>23</v>
      </c>
      <c r="B29" s="89"/>
      <c r="C29" s="92"/>
      <c r="D29" s="50"/>
      <c r="E29" s="50" t="s">
        <v>404</v>
      </c>
      <c r="F29" s="33">
        <v>12680</v>
      </c>
      <c r="G29" s="414">
        <v>12420</v>
      </c>
      <c r="H29" s="414"/>
      <c r="I29" s="414"/>
      <c r="J29" s="641">
        <f>F29-G29</f>
        <v>260</v>
      </c>
      <c r="K29" s="653">
        <v>-12680</v>
      </c>
      <c r="L29" s="413">
        <v>12694</v>
      </c>
      <c r="M29" s="414"/>
      <c r="N29" s="414"/>
      <c r="O29" s="414"/>
      <c r="P29" s="414"/>
      <c r="Q29" s="414"/>
      <c r="R29" s="33">
        <v>-12694</v>
      </c>
      <c r="S29" s="34">
        <f>-G29</f>
        <v>-12420</v>
      </c>
      <c r="T29" s="35"/>
      <c r="U29" s="35"/>
      <c r="V29" s="27">
        <f>-J29</f>
        <v>-260</v>
      </c>
      <c r="W29" s="118"/>
      <c r="X29" s="155"/>
      <c r="Y29" s="142"/>
      <c r="Z29" s="66" t="s">
        <v>421</v>
      </c>
      <c r="AA29" s="128">
        <f t="shared" si="0"/>
        <v>0</v>
      </c>
      <c r="AI29" s="210">
        <f t="shared" si="1"/>
        <v>0</v>
      </c>
      <c r="AJ29" s="207" t="str">
        <f t="shared" si="2"/>
        <v>OK</v>
      </c>
    </row>
    <row r="30" spans="1:36" ht="40.5" customHeight="1" thickBot="1">
      <c r="A30" s="66">
        <v>24</v>
      </c>
      <c r="B30" s="89"/>
      <c r="C30" s="93" t="s">
        <v>84</v>
      </c>
      <c r="D30" s="50" t="s">
        <v>405</v>
      </c>
      <c r="E30" s="50"/>
      <c r="F30" s="33">
        <v>61740</v>
      </c>
      <c r="G30" s="414">
        <v>41160</v>
      </c>
      <c r="H30" s="414"/>
      <c r="I30" s="414">
        <v>20400</v>
      </c>
      <c r="J30" s="641">
        <v>180</v>
      </c>
      <c r="K30" s="653">
        <v>-61740</v>
      </c>
      <c r="L30" s="413">
        <v>63650</v>
      </c>
      <c r="M30" s="414"/>
      <c r="N30" s="414"/>
      <c r="O30" s="414"/>
      <c r="P30" s="414"/>
      <c r="Q30" s="414"/>
      <c r="R30" s="33">
        <v>-63650</v>
      </c>
      <c r="S30" s="34">
        <v>-41160</v>
      </c>
      <c r="T30" s="35"/>
      <c r="U30" s="35">
        <v>-20400</v>
      </c>
      <c r="V30" s="27">
        <v>-180</v>
      </c>
      <c r="W30" s="118"/>
      <c r="X30" s="155"/>
      <c r="Y30" s="142" t="s">
        <v>72</v>
      </c>
      <c r="Z30" s="66" t="s">
        <v>421</v>
      </c>
      <c r="AA30" s="128">
        <f t="shared" si="0"/>
        <v>0</v>
      </c>
      <c r="AI30" s="210">
        <f t="shared" si="1"/>
        <v>0</v>
      </c>
      <c r="AJ30" s="207" t="str">
        <f t="shared" si="2"/>
        <v>OK</v>
      </c>
    </row>
    <row r="31" spans="2:36" ht="31.5" customHeight="1" thickBot="1">
      <c r="B31" s="95"/>
      <c r="C31" s="96"/>
      <c r="D31" s="57"/>
      <c r="E31" s="57" t="s">
        <v>403</v>
      </c>
      <c r="F31" s="59">
        <f aca="true" t="shared" si="6" ref="F31:P31">SUM(F28:F30)</f>
        <v>490798</v>
      </c>
      <c r="G31" s="373">
        <f t="shared" si="6"/>
        <v>330232</v>
      </c>
      <c r="H31" s="373">
        <f t="shared" si="6"/>
        <v>0</v>
      </c>
      <c r="I31" s="373">
        <f t="shared" si="6"/>
        <v>20400</v>
      </c>
      <c r="J31" s="662">
        <f t="shared" si="6"/>
        <v>138169</v>
      </c>
      <c r="K31" s="669">
        <f t="shared" si="6"/>
        <v>-490798</v>
      </c>
      <c r="L31" s="419">
        <f t="shared" si="6"/>
        <v>498683</v>
      </c>
      <c r="M31" s="373">
        <f t="shared" si="6"/>
        <v>281559.3333333333</v>
      </c>
      <c r="N31" s="373">
        <f t="shared" si="6"/>
        <v>0</v>
      </c>
      <c r="O31" s="373">
        <f t="shared" si="6"/>
        <v>0</v>
      </c>
      <c r="P31" s="373">
        <f t="shared" si="6"/>
        <v>140779.66666666666</v>
      </c>
      <c r="Q31" s="373"/>
      <c r="R31" s="59">
        <f>SUM(R28:R30)</f>
        <v>-492722</v>
      </c>
      <c r="S31" s="68">
        <f>SUM(S28:S30)</f>
        <v>-330232</v>
      </c>
      <c r="T31" s="61">
        <f>SUM(T28:T30)</f>
        <v>0</v>
      </c>
      <c r="U31" s="61">
        <f>SUM(U28:U30)</f>
        <v>-20400</v>
      </c>
      <c r="V31" s="64">
        <f>SUM(V28:V30)</f>
        <v>-140166</v>
      </c>
      <c r="W31" s="68"/>
      <c r="X31" s="64"/>
      <c r="Y31" s="144"/>
      <c r="AA31" s="128">
        <f t="shared" si="0"/>
        <v>0</v>
      </c>
      <c r="AC31" s="59">
        <f aca="true" t="shared" si="7" ref="AC31:AH31">SUM(AC28:AC30)</f>
        <v>0</v>
      </c>
      <c r="AD31" s="59">
        <f t="shared" si="7"/>
        <v>0</v>
      </c>
      <c r="AE31" s="59">
        <f t="shared" si="7"/>
        <v>0</v>
      </c>
      <c r="AF31" s="59">
        <f t="shared" si="7"/>
        <v>0</v>
      </c>
      <c r="AG31" s="59">
        <f t="shared" si="7"/>
        <v>0</v>
      </c>
      <c r="AH31" s="59">
        <f t="shared" si="7"/>
        <v>0</v>
      </c>
      <c r="AI31" s="210">
        <f t="shared" si="1"/>
        <v>0</v>
      </c>
      <c r="AJ31" s="207" t="str">
        <f t="shared" si="2"/>
        <v>OK</v>
      </c>
    </row>
    <row r="32" spans="1:36" ht="39" customHeight="1">
      <c r="A32" s="66">
        <v>25</v>
      </c>
      <c r="B32" s="89" t="s">
        <v>231</v>
      </c>
      <c r="C32" s="92" t="s">
        <v>230</v>
      </c>
      <c r="D32" s="50" t="s">
        <v>443</v>
      </c>
      <c r="E32" s="50"/>
      <c r="F32" s="33">
        <v>1745</v>
      </c>
      <c r="G32" s="414"/>
      <c r="H32" s="414"/>
      <c r="I32" s="414"/>
      <c r="J32" s="641"/>
      <c r="K32" s="653">
        <v>-1745</v>
      </c>
      <c r="L32" s="413">
        <v>2805</v>
      </c>
      <c r="M32" s="414"/>
      <c r="N32" s="414"/>
      <c r="O32" s="414"/>
      <c r="P32" s="414"/>
      <c r="Q32" s="414"/>
      <c r="R32" s="33">
        <v>-2805</v>
      </c>
      <c r="S32" s="34"/>
      <c r="T32" s="35"/>
      <c r="U32" s="35"/>
      <c r="V32" s="27">
        <v>-1745</v>
      </c>
      <c r="W32" s="118"/>
      <c r="X32" s="155"/>
      <c r="Y32" s="142" t="s">
        <v>35</v>
      </c>
      <c r="Z32" s="66" t="s">
        <v>421</v>
      </c>
      <c r="AA32" s="128">
        <f t="shared" si="0"/>
        <v>0</v>
      </c>
      <c r="AI32" s="210">
        <f t="shared" si="1"/>
        <v>0</v>
      </c>
      <c r="AJ32" s="207" t="str">
        <f t="shared" si="2"/>
        <v>OK</v>
      </c>
    </row>
    <row r="33" spans="1:36" ht="39" customHeight="1">
      <c r="A33" s="66">
        <v>26</v>
      </c>
      <c r="B33" s="89"/>
      <c r="C33" s="91" t="s">
        <v>249</v>
      </c>
      <c r="D33" s="50" t="s">
        <v>250</v>
      </c>
      <c r="E33" s="50"/>
      <c r="F33" s="33">
        <v>1990846</v>
      </c>
      <c r="G33" s="414"/>
      <c r="H33" s="414"/>
      <c r="I33" s="414"/>
      <c r="J33" s="641"/>
      <c r="K33" s="653">
        <v>-164747</v>
      </c>
      <c r="L33" s="413"/>
      <c r="M33" s="414"/>
      <c r="N33" s="414"/>
      <c r="O33" s="414"/>
      <c r="P33" s="414"/>
      <c r="Q33" s="414"/>
      <c r="R33" s="33"/>
      <c r="S33" s="34"/>
      <c r="T33" s="118"/>
      <c r="U33" s="35"/>
      <c r="V33" s="27">
        <v>-164747</v>
      </c>
      <c r="W33" s="118"/>
      <c r="X33" s="155"/>
      <c r="Y33" s="142" t="s">
        <v>251</v>
      </c>
      <c r="Z33" s="66" t="s">
        <v>421</v>
      </c>
      <c r="AA33" s="128">
        <f t="shared" si="0"/>
        <v>0</v>
      </c>
      <c r="AI33" s="210"/>
      <c r="AJ33" s="207"/>
    </row>
    <row r="34" spans="1:36" ht="58.5" customHeight="1" thickBot="1">
      <c r="A34" s="66">
        <v>27</v>
      </c>
      <c r="B34" s="89"/>
      <c r="C34" s="90" t="s">
        <v>86</v>
      </c>
      <c r="D34" s="50" t="s">
        <v>87</v>
      </c>
      <c r="E34" s="50" t="s">
        <v>182</v>
      </c>
      <c r="F34" s="33">
        <v>87000</v>
      </c>
      <c r="G34" s="414"/>
      <c r="H34" s="414"/>
      <c r="I34" s="414"/>
      <c r="J34" s="641">
        <v>87000</v>
      </c>
      <c r="K34" s="653">
        <v>-87000</v>
      </c>
      <c r="L34" s="413">
        <v>87000</v>
      </c>
      <c r="M34" s="414"/>
      <c r="N34" s="414"/>
      <c r="O34" s="414"/>
      <c r="P34" s="414"/>
      <c r="Q34" s="414"/>
      <c r="R34" s="33">
        <v>-87000</v>
      </c>
      <c r="S34" s="34"/>
      <c r="T34" s="35"/>
      <c r="U34" s="35"/>
      <c r="V34" s="27">
        <v>-87000</v>
      </c>
      <c r="W34" s="118"/>
      <c r="X34" s="155"/>
      <c r="Y34" s="142" t="s">
        <v>708</v>
      </c>
      <c r="Z34" s="66" t="s">
        <v>421</v>
      </c>
      <c r="AA34" s="128">
        <f t="shared" si="0"/>
        <v>0</v>
      </c>
      <c r="AI34" s="210">
        <f aca="true" t="shared" si="8" ref="AI34:AI65">SUM(AC34:AH34)</f>
        <v>0</v>
      </c>
      <c r="AJ34" s="207" t="str">
        <f aca="true" t="shared" si="9" ref="AJ34:AJ65">IF(T34=AI34,"OK","OUT")</f>
        <v>OK</v>
      </c>
    </row>
    <row r="35" spans="2:36" ht="31.5" customHeight="1" thickBot="1">
      <c r="B35" s="95"/>
      <c r="C35" s="96"/>
      <c r="D35" s="57"/>
      <c r="E35" s="57" t="s">
        <v>403</v>
      </c>
      <c r="F35" s="59">
        <f>SUM(F32:F34)</f>
        <v>2079591</v>
      </c>
      <c r="G35" s="373"/>
      <c r="H35" s="373"/>
      <c r="I35" s="373"/>
      <c r="J35" s="662"/>
      <c r="K35" s="669">
        <f>SUM(K32:K34)</f>
        <v>-253492</v>
      </c>
      <c r="L35" s="419">
        <f>SUM(L32:L34)</f>
        <v>89805</v>
      </c>
      <c r="M35" s="373"/>
      <c r="N35" s="373"/>
      <c r="O35" s="373"/>
      <c r="P35" s="373"/>
      <c r="Q35" s="373"/>
      <c r="R35" s="59">
        <f>SUM(R32:R34)</f>
        <v>-89805</v>
      </c>
      <c r="S35" s="60">
        <f>SUM(S32:S34)</f>
        <v>0</v>
      </c>
      <c r="T35" s="60">
        <f>SUM(T32:T34)</f>
        <v>0</v>
      </c>
      <c r="U35" s="60">
        <f>SUM(U32:U34)</f>
        <v>0</v>
      </c>
      <c r="V35" s="64">
        <f>SUM(V32:V34)</f>
        <v>-253492</v>
      </c>
      <c r="W35" s="68"/>
      <c r="X35" s="64"/>
      <c r="Y35" s="144"/>
      <c r="AA35" s="128">
        <f t="shared" si="0"/>
        <v>0</v>
      </c>
      <c r="AC35" s="59">
        <f aca="true" t="shared" si="10" ref="AC35:AH35">SUM(AC32:AC34)</f>
        <v>0</v>
      </c>
      <c r="AD35" s="59">
        <f t="shared" si="10"/>
        <v>0</v>
      </c>
      <c r="AE35" s="59">
        <f t="shared" si="10"/>
        <v>0</v>
      </c>
      <c r="AF35" s="59">
        <f t="shared" si="10"/>
        <v>0</v>
      </c>
      <c r="AG35" s="59">
        <f t="shared" si="10"/>
        <v>0</v>
      </c>
      <c r="AH35" s="59">
        <f t="shared" si="10"/>
        <v>0</v>
      </c>
      <c r="AI35" s="210">
        <f t="shared" si="8"/>
        <v>0</v>
      </c>
      <c r="AJ35" s="207" t="str">
        <f t="shared" si="9"/>
        <v>OK</v>
      </c>
    </row>
    <row r="36" spans="1:36" ht="31.5" customHeight="1">
      <c r="A36" s="66">
        <v>28</v>
      </c>
      <c r="B36" s="151" t="s">
        <v>196</v>
      </c>
      <c r="C36" s="192" t="s">
        <v>481</v>
      </c>
      <c r="D36" s="180" t="s">
        <v>599</v>
      </c>
      <c r="E36" s="180" t="s">
        <v>600</v>
      </c>
      <c r="F36" s="230">
        <v>15106</v>
      </c>
      <c r="G36" s="421"/>
      <c r="H36" s="421"/>
      <c r="I36" s="421"/>
      <c r="J36" s="645"/>
      <c r="K36" s="657">
        <v>-15106</v>
      </c>
      <c r="L36" s="420">
        <v>12326</v>
      </c>
      <c r="M36" s="421"/>
      <c r="N36" s="421"/>
      <c r="O36" s="421"/>
      <c r="P36" s="421"/>
      <c r="Q36" s="421"/>
      <c r="R36" s="230">
        <v>-11000</v>
      </c>
      <c r="S36" s="193"/>
      <c r="T36" s="193"/>
      <c r="U36" s="193"/>
      <c r="V36" s="194">
        <v>-15106</v>
      </c>
      <c r="W36" s="139"/>
      <c r="X36" s="173"/>
      <c r="Y36" s="126"/>
      <c r="Z36" s="66" t="s">
        <v>421</v>
      </c>
      <c r="AA36" s="128">
        <f t="shared" si="0"/>
        <v>0</v>
      </c>
      <c r="AC36" s="62"/>
      <c r="AD36" s="62"/>
      <c r="AE36" s="62"/>
      <c r="AF36" s="62"/>
      <c r="AG36" s="62"/>
      <c r="AH36" s="62"/>
      <c r="AI36" s="210">
        <f t="shared" si="8"/>
        <v>0</v>
      </c>
      <c r="AJ36" s="207" t="str">
        <f t="shared" si="9"/>
        <v>OK</v>
      </c>
    </row>
    <row r="37" spans="1:36" ht="49.5" customHeight="1">
      <c r="A37" s="66">
        <v>29</v>
      </c>
      <c r="B37" s="99"/>
      <c r="C37" s="91" t="s">
        <v>259</v>
      </c>
      <c r="D37" s="50" t="s">
        <v>260</v>
      </c>
      <c r="E37" s="50" t="s">
        <v>601</v>
      </c>
      <c r="F37" s="33">
        <v>17903</v>
      </c>
      <c r="G37" s="414"/>
      <c r="H37" s="414"/>
      <c r="I37" s="414"/>
      <c r="J37" s="641"/>
      <c r="K37" s="653">
        <v>-750</v>
      </c>
      <c r="L37" s="413">
        <v>12505</v>
      </c>
      <c r="M37" s="414"/>
      <c r="N37" s="414"/>
      <c r="O37" s="414"/>
      <c r="P37" s="414"/>
      <c r="Q37" s="414"/>
      <c r="R37" s="33">
        <v>-1050</v>
      </c>
      <c r="S37" s="34"/>
      <c r="T37" s="35"/>
      <c r="U37" s="35"/>
      <c r="V37" s="27">
        <v>-750</v>
      </c>
      <c r="W37" s="118"/>
      <c r="X37" s="155"/>
      <c r="Y37" s="142" t="s">
        <v>256</v>
      </c>
      <c r="Z37" s="66" t="s">
        <v>421</v>
      </c>
      <c r="AA37" s="128">
        <f aca="true" t="shared" si="11" ref="AA37:AA68">K37-S37-T37-U37-V37</f>
        <v>0</v>
      </c>
      <c r="AI37" s="210">
        <f t="shared" si="8"/>
        <v>0</v>
      </c>
      <c r="AJ37" s="207" t="str">
        <f t="shared" si="9"/>
        <v>OK</v>
      </c>
    </row>
    <row r="38" spans="1:36" ht="49.5" customHeight="1">
      <c r="A38" s="66">
        <v>30</v>
      </c>
      <c r="B38" s="99"/>
      <c r="C38" s="91"/>
      <c r="D38" s="51" t="s">
        <v>38</v>
      </c>
      <c r="E38" s="50" t="s">
        <v>189</v>
      </c>
      <c r="F38" s="33">
        <v>62621</v>
      </c>
      <c r="G38" s="414"/>
      <c r="H38" s="414"/>
      <c r="I38" s="414"/>
      <c r="J38" s="641"/>
      <c r="K38" s="653">
        <v>-62621</v>
      </c>
      <c r="L38" s="413">
        <v>49423</v>
      </c>
      <c r="M38" s="414"/>
      <c r="N38" s="414"/>
      <c r="O38" s="414"/>
      <c r="P38" s="414"/>
      <c r="Q38" s="414"/>
      <c r="R38" s="33">
        <v>-49423</v>
      </c>
      <c r="S38" s="34"/>
      <c r="T38" s="35">
        <v>-62621</v>
      </c>
      <c r="U38" s="35"/>
      <c r="V38" s="27"/>
      <c r="W38" s="118"/>
      <c r="X38" s="155"/>
      <c r="Y38" s="142"/>
      <c r="Z38" s="66" t="s">
        <v>421</v>
      </c>
      <c r="AA38" s="128">
        <f t="shared" si="11"/>
        <v>0</v>
      </c>
      <c r="AG38" s="612">
        <v>-62621</v>
      </c>
      <c r="AI38" s="210">
        <f t="shared" si="8"/>
        <v>-62621</v>
      </c>
      <c r="AJ38" s="207" t="str">
        <f t="shared" si="9"/>
        <v>OK</v>
      </c>
    </row>
    <row r="39" spans="1:36" ht="78" customHeight="1" thickBot="1">
      <c r="A39" s="66">
        <v>31</v>
      </c>
      <c r="B39" s="99"/>
      <c r="C39" s="639" t="s">
        <v>838</v>
      </c>
      <c r="D39" s="138" t="s">
        <v>698</v>
      </c>
      <c r="E39" s="56"/>
      <c r="F39" s="42">
        <v>65421</v>
      </c>
      <c r="G39" s="418"/>
      <c r="H39" s="418"/>
      <c r="I39" s="418"/>
      <c r="J39" s="643"/>
      <c r="K39" s="655">
        <v>-58617</v>
      </c>
      <c r="L39" s="417">
        <v>65421</v>
      </c>
      <c r="M39" s="418"/>
      <c r="N39" s="418"/>
      <c r="O39" s="418"/>
      <c r="P39" s="418"/>
      <c r="Q39" s="418"/>
      <c r="R39" s="42">
        <v>-58617</v>
      </c>
      <c r="S39" s="43"/>
      <c r="T39" s="44"/>
      <c r="U39" s="44"/>
      <c r="V39" s="45">
        <v>-58617</v>
      </c>
      <c r="W39" s="62"/>
      <c r="X39" s="150"/>
      <c r="Y39" s="143" t="s">
        <v>792</v>
      </c>
      <c r="Z39" s="66" t="s">
        <v>421</v>
      </c>
      <c r="AA39" s="128">
        <f t="shared" si="11"/>
        <v>0</v>
      </c>
      <c r="AI39" s="210">
        <f t="shared" si="8"/>
        <v>0</v>
      </c>
      <c r="AJ39" s="207" t="str">
        <f t="shared" si="9"/>
        <v>OK</v>
      </c>
    </row>
    <row r="40" spans="2:36" ht="31.5" customHeight="1" thickBot="1">
      <c r="B40" s="100"/>
      <c r="C40" s="96"/>
      <c r="D40" s="63"/>
      <c r="E40" s="57" t="s">
        <v>403</v>
      </c>
      <c r="F40" s="59">
        <f aca="true" t="shared" si="12" ref="F40:V40">SUM(F36:F39)</f>
        <v>161051</v>
      </c>
      <c r="G40" s="373">
        <f t="shared" si="12"/>
        <v>0</v>
      </c>
      <c r="H40" s="373">
        <f t="shared" si="12"/>
        <v>0</v>
      </c>
      <c r="I40" s="373">
        <f t="shared" si="12"/>
        <v>0</v>
      </c>
      <c r="J40" s="662">
        <f t="shared" si="12"/>
        <v>0</v>
      </c>
      <c r="K40" s="669">
        <f t="shared" si="12"/>
        <v>-137094</v>
      </c>
      <c r="L40" s="422">
        <f t="shared" si="12"/>
        <v>139675</v>
      </c>
      <c r="M40" s="373">
        <f t="shared" si="12"/>
        <v>0</v>
      </c>
      <c r="N40" s="373">
        <f t="shared" si="12"/>
        <v>0</v>
      </c>
      <c r="O40" s="373">
        <f t="shared" si="12"/>
        <v>0</v>
      </c>
      <c r="P40" s="373">
        <f t="shared" si="12"/>
        <v>0</v>
      </c>
      <c r="Q40" s="373">
        <f t="shared" si="12"/>
        <v>0</v>
      </c>
      <c r="R40" s="59">
        <f t="shared" si="12"/>
        <v>-120090</v>
      </c>
      <c r="S40" s="60">
        <f t="shared" si="12"/>
        <v>0</v>
      </c>
      <c r="T40" s="61">
        <f t="shared" si="12"/>
        <v>-62621</v>
      </c>
      <c r="U40" s="61">
        <f t="shared" si="12"/>
        <v>0</v>
      </c>
      <c r="V40" s="64">
        <f t="shared" si="12"/>
        <v>-74473</v>
      </c>
      <c r="W40" s="68"/>
      <c r="X40" s="64"/>
      <c r="Y40" s="144"/>
      <c r="AA40" s="128">
        <f t="shared" si="11"/>
        <v>0</v>
      </c>
      <c r="AC40" s="128">
        <f aca="true" t="shared" si="13" ref="AC40:AH40">SUM(AC36:AC39)</f>
        <v>0</v>
      </c>
      <c r="AD40" s="128">
        <f t="shared" si="13"/>
        <v>0</v>
      </c>
      <c r="AE40" s="128">
        <f t="shared" si="13"/>
        <v>0</v>
      </c>
      <c r="AF40" s="128">
        <f t="shared" si="13"/>
        <v>0</v>
      </c>
      <c r="AG40" s="128">
        <f t="shared" si="13"/>
        <v>-62621</v>
      </c>
      <c r="AH40" s="128">
        <f t="shared" si="13"/>
        <v>0</v>
      </c>
      <c r="AI40" s="210">
        <f t="shared" si="8"/>
        <v>-62621</v>
      </c>
      <c r="AJ40" s="207" t="str">
        <f t="shared" si="9"/>
        <v>OK</v>
      </c>
    </row>
    <row r="41" spans="1:36" ht="55.5" customHeight="1" thickBot="1">
      <c r="A41" s="66">
        <v>32</v>
      </c>
      <c r="B41" s="151" t="s">
        <v>406</v>
      </c>
      <c r="C41" s="91" t="s">
        <v>738</v>
      </c>
      <c r="D41" s="50" t="s">
        <v>739</v>
      </c>
      <c r="E41" s="50" t="s">
        <v>191</v>
      </c>
      <c r="F41" s="33">
        <v>54592</v>
      </c>
      <c r="G41" s="414"/>
      <c r="H41" s="414"/>
      <c r="I41" s="414"/>
      <c r="J41" s="641"/>
      <c r="K41" s="653">
        <v>-27296</v>
      </c>
      <c r="L41" s="413">
        <v>55019</v>
      </c>
      <c r="M41" s="414"/>
      <c r="N41" s="414"/>
      <c r="O41" s="414"/>
      <c r="P41" s="414"/>
      <c r="Q41" s="414"/>
      <c r="R41" s="33">
        <v>-55019</v>
      </c>
      <c r="S41" s="34"/>
      <c r="T41" s="35"/>
      <c r="U41" s="35"/>
      <c r="V41" s="27">
        <v>-27296</v>
      </c>
      <c r="W41" s="118"/>
      <c r="X41" s="155"/>
      <c r="Y41" s="142" t="s">
        <v>192</v>
      </c>
      <c r="Z41" s="66" t="s">
        <v>421</v>
      </c>
      <c r="AA41" s="128">
        <f t="shared" si="11"/>
        <v>0</v>
      </c>
      <c r="AI41" s="210">
        <f t="shared" si="8"/>
        <v>0</v>
      </c>
      <c r="AJ41" s="207" t="str">
        <f t="shared" si="9"/>
        <v>OK</v>
      </c>
    </row>
    <row r="42" spans="1:36" ht="54" customHeight="1">
      <c r="A42" s="66">
        <v>33</v>
      </c>
      <c r="B42" s="89"/>
      <c r="C42" s="90" t="s">
        <v>716</v>
      </c>
      <c r="D42" s="50" t="s">
        <v>748</v>
      </c>
      <c r="E42" s="50" t="s">
        <v>193</v>
      </c>
      <c r="F42" s="33">
        <v>271069</v>
      </c>
      <c r="G42" s="423">
        <v>128000</v>
      </c>
      <c r="H42" s="423">
        <v>36608</v>
      </c>
      <c r="I42" s="621">
        <v>106300</v>
      </c>
      <c r="J42" s="663">
        <v>161</v>
      </c>
      <c r="K42" s="653">
        <v>-271069</v>
      </c>
      <c r="L42" s="413">
        <v>8120231</v>
      </c>
      <c r="M42" s="423">
        <v>4435975</v>
      </c>
      <c r="N42" s="423">
        <v>994003</v>
      </c>
      <c r="O42" s="423">
        <v>2662000</v>
      </c>
      <c r="P42" s="423">
        <v>28253</v>
      </c>
      <c r="Q42" s="424">
        <f aca="true" t="shared" si="14" ref="Q42:Q64">L42-M42-N42-O42-P42</f>
        <v>0</v>
      </c>
      <c r="R42" s="33">
        <v>-271069</v>
      </c>
      <c r="S42" s="34">
        <v>-128000</v>
      </c>
      <c r="T42" s="35">
        <v>-36608</v>
      </c>
      <c r="U42" s="35">
        <v>-106300</v>
      </c>
      <c r="V42" s="27">
        <v>-161</v>
      </c>
      <c r="W42" s="118"/>
      <c r="X42" s="155"/>
      <c r="Y42" s="142" t="s">
        <v>194</v>
      </c>
      <c r="Z42" s="66" t="s">
        <v>421</v>
      </c>
      <c r="AA42" s="128">
        <f t="shared" si="11"/>
        <v>0</v>
      </c>
      <c r="AC42" s="628">
        <v>-36608</v>
      </c>
      <c r="AD42" s="209">
        <v>0</v>
      </c>
      <c r="AE42" s="208">
        <v>0</v>
      </c>
      <c r="AF42" s="208">
        <v>0</v>
      </c>
      <c r="AG42" s="208">
        <v>0</v>
      </c>
      <c r="AH42" s="627"/>
      <c r="AI42" s="210">
        <f t="shared" si="8"/>
        <v>-36608</v>
      </c>
      <c r="AJ42" s="207" t="str">
        <f t="shared" si="9"/>
        <v>OK</v>
      </c>
    </row>
    <row r="43" spans="1:36" ht="45" customHeight="1">
      <c r="A43" s="66">
        <v>34</v>
      </c>
      <c r="B43" s="99"/>
      <c r="C43" s="92"/>
      <c r="D43" s="50" t="s">
        <v>146</v>
      </c>
      <c r="E43" s="50"/>
      <c r="F43" s="33">
        <v>3925712</v>
      </c>
      <c r="G43" s="424"/>
      <c r="H43" s="424">
        <v>1523448</v>
      </c>
      <c r="I43" s="492">
        <v>2400000</v>
      </c>
      <c r="J43" s="664">
        <v>2264</v>
      </c>
      <c r="K43" s="653">
        <v>-3925712</v>
      </c>
      <c r="L43" s="413">
        <v>4395081</v>
      </c>
      <c r="M43" s="424">
        <v>0</v>
      </c>
      <c r="N43" s="424">
        <v>1650720</v>
      </c>
      <c r="O43" s="424">
        <v>2744000</v>
      </c>
      <c r="P43" s="424">
        <v>361</v>
      </c>
      <c r="Q43" s="424">
        <f t="shared" si="14"/>
        <v>0</v>
      </c>
      <c r="R43" s="33">
        <f>-L43</f>
        <v>-4395081</v>
      </c>
      <c r="S43" s="34"/>
      <c r="T43" s="35">
        <v>-1523448</v>
      </c>
      <c r="U43" s="35">
        <v>-2400000</v>
      </c>
      <c r="V43" s="27">
        <v>-2264</v>
      </c>
      <c r="W43" s="118"/>
      <c r="X43" s="155"/>
      <c r="Y43" s="142" t="s">
        <v>155</v>
      </c>
      <c r="Z43" s="66" t="s">
        <v>421</v>
      </c>
      <c r="AA43" s="128">
        <f t="shared" si="11"/>
        <v>0</v>
      </c>
      <c r="AC43" s="612">
        <v>-1523448</v>
      </c>
      <c r="AD43" s="209">
        <v>0</v>
      </c>
      <c r="AE43" s="208">
        <v>0</v>
      </c>
      <c r="AF43" s="208">
        <v>0</v>
      </c>
      <c r="AG43" s="208">
        <v>0</v>
      </c>
      <c r="AH43" s="208">
        <v>0</v>
      </c>
      <c r="AI43" s="210">
        <f t="shared" si="8"/>
        <v>-1523448</v>
      </c>
      <c r="AJ43" s="207" t="str">
        <f t="shared" si="9"/>
        <v>OK</v>
      </c>
    </row>
    <row r="44" spans="1:36" ht="42" customHeight="1">
      <c r="A44" s="66">
        <v>35</v>
      </c>
      <c r="B44" s="99"/>
      <c r="C44" s="93" t="s">
        <v>714</v>
      </c>
      <c r="D44" s="38" t="s">
        <v>715</v>
      </c>
      <c r="E44" s="50"/>
      <c r="F44" s="33">
        <v>34218</v>
      </c>
      <c r="G44" s="424">
        <v>14159</v>
      </c>
      <c r="H44" s="424"/>
      <c r="I44" s="492"/>
      <c r="J44" s="664">
        <v>20059</v>
      </c>
      <c r="K44" s="653">
        <v>-11406</v>
      </c>
      <c r="L44" s="413">
        <v>36128</v>
      </c>
      <c r="M44" s="424">
        <v>17807</v>
      </c>
      <c r="N44" s="424">
        <v>0</v>
      </c>
      <c r="O44" s="424">
        <v>0</v>
      </c>
      <c r="P44" s="424">
        <v>18321</v>
      </c>
      <c r="Q44" s="424">
        <f t="shared" si="14"/>
        <v>0</v>
      </c>
      <c r="R44" s="33">
        <v>-10838</v>
      </c>
      <c r="S44" s="34">
        <v>-4720</v>
      </c>
      <c r="T44" s="35"/>
      <c r="U44" s="35"/>
      <c r="V44" s="27">
        <v>-6686</v>
      </c>
      <c r="W44" s="118"/>
      <c r="X44" s="155"/>
      <c r="Y44" s="142" t="s">
        <v>514</v>
      </c>
      <c r="Z44" s="66" t="s">
        <v>421</v>
      </c>
      <c r="AA44" s="128">
        <f t="shared" si="11"/>
        <v>0</v>
      </c>
      <c r="AC44" s="209">
        <v>0</v>
      </c>
      <c r="AD44" s="209">
        <v>0</v>
      </c>
      <c r="AE44" s="208">
        <v>0</v>
      </c>
      <c r="AF44" s="208">
        <v>0</v>
      </c>
      <c r="AG44" s="208">
        <v>0</v>
      </c>
      <c r="AH44" s="208">
        <v>0</v>
      </c>
      <c r="AI44" s="210">
        <f t="shared" si="8"/>
        <v>0</v>
      </c>
      <c r="AJ44" s="207" t="str">
        <f t="shared" si="9"/>
        <v>OK</v>
      </c>
    </row>
    <row r="45" spans="1:36" ht="41.25" customHeight="1" thickBot="1">
      <c r="A45" s="66">
        <v>36</v>
      </c>
      <c r="B45" s="99"/>
      <c r="C45" s="90" t="s">
        <v>149</v>
      </c>
      <c r="D45" s="56" t="s">
        <v>150</v>
      </c>
      <c r="E45" s="50" t="s">
        <v>151</v>
      </c>
      <c r="F45" s="33">
        <v>876838</v>
      </c>
      <c r="G45" s="335">
        <v>421174</v>
      </c>
      <c r="H45" s="428">
        <v>84234</v>
      </c>
      <c r="I45" s="490">
        <v>370000</v>
      </c>
      <c r="J45" s="665">
        <v>1430</v>
      </c>
      <c r="K45" s="653">
        <v>-438419</v>
      </c>
      <c r="L45" s="413">
        <v>903203</v>
      </c>
      <c r="M45" s="424">
        <v>447052</v>
      </c>
      <c r="N45" s="424">
        <v>89412</v>
      </c>
      <c r="O45" s="424">
        <v>355500</v>
      </c>
      <c r="P45" s="424">
        <v>11239</v>
      </c>
      <c r="Q45" s="424">
        <f t="shared" si="14"/>
        <v>0</v>
      </c>
      <c r="R45" s="33">
        <v>-451602</v>
      </c>
      <c r="S45" s="34">
        <v>-210587</v>
      </c>
      <c r="T45" s="35">
        <v>-42117</v>
      </c>
      <c r="U45" s="35">
        <v>-185000</v>
      </c>
      <c r="V45" s="27">
        <v>-715</v>
      </c>
      <c r="W45" s="118"/>
      <c r="X45" s="155"/>
      <c r="Y45" s="142" t="s">
        <v>78</v>
      </c>
      <c r="Z45" s="66" t="s">
        <v>421</v>
      </c>
      <c r="AA45" s="128">
        <f t="shared" si="11"/>
        <v>0</v>
      </c>
      <c r="AC45" s="612">
        <v>-42117</v>
      </c>
      <c r="AD45" s="209">
        <v>0</v>
      </c>
      <c r="AE45" s="209">
        <v>0</v>
      </c>
      <c r="AF45" s="209">
        <v>0</v>
      </c>
      <c r="AG45" s="209">
        <v>0</v>
      </c>
      <c r="AH45" s="209">
        <v>0</v>
      </c>
      <c r="AI45" s="210">
        <f t="shared" si="8"/>
        <v>-42117</v>
      </c>
      <c r="AJ45" s="207" t="str">
        <f t="shared" si="9"/>
        <v>OK</v>
      </c>
    </row>
    <row r="46" spans="2:36" ht="31.5" customHeight="1" thickBot="1">
      <c r="B46" s="95"/>
      <c r="C46" s="96"/>
      <c r="D46" s="57"/>
      <c r="E46" s="57" t="s">
        <v>403</v>
      </c>
      <c r="F46" s="59">
        <f aca="true" t="shared" si="15" ref="F46:P46">SUM(F41:F45)</f>
        <v>5162429</v>
      </c>
      <c r="G46" s="373">
        <f t="shared" si="15"/>
        <v>563333</v>
      </c>
      <c r="H46" s="373">
        <f t="shared" si="15"/>
        <v>1644290</v>
      </c>
      <c r="I46" s="373">
        <f t="shared" si="15"/>
        <v>2876300</v>
      </c>
      <c r="J46" s="662">
        <f t="shared" si="15"/>
        <v>23914</v>
      </c>
      <c r="K46" s="669">
        <f t="shared" si="15"/>
        <v>-4673902</v>
      </c>
      <c r="L46" s="422">
        <f t="shared" si="15"/>
        <v>13509662</v>
      </c>
      <c r="M46" s="373">
        <f t="shared" si="15"/>
        <v>4900834</v>
      </c>
      <c r="N46" s="373">
        <f t="shared" si="15"/>
        <v>2734135</v>
      </c>
      <c r="O46" s="373">
        <f t="shared" si="15"/>
        <v>5761500</v>
      </c>
      <c r="P46" s="373">
        <f t="shared" si="15"/>
        <v>58174</v>
      </c>
      <c r="Q46" s="424">
        <f t="shared" si="14"/>
        <v>55019</v>
      </c>
      <c r="R46" s="59">
        <f>SUM(R41:R45)</f>
        <v>-5183609</v>
      </c>
      <c r="S46" s="60">
        <f>SUM(S41:S45)</f>
        <v>-343307</v>
      </c>
      <c r="T46" s="61">
        <f>SUM(T41:T45)</f>
        <v>-1602173</v>
      </c>
      <c r="U46" s="61">
        <f>SUM(U41:U45)</f>
        <v>-2691300</v>
      </c>
      <c r="V46" s="64">
        <f>SUM(V41:V45)</f>
        <v>-37122</v>
      </c>
      <c r="W46" s="68"/>
      <c r="X46" s="64"/>
      <c r="Y46" s="144"/>
      <c r="AA46" s="128">
        <f t="shared" si="11"/>
        <v>0</v>
      </c>
      <c r="AC46" s="97">
        <f aca="true" t="shared" si="16" ref="AC46:AH46">SUM(AC41:AC45)</f>
        <v>-1602173</v>
      </c>
      <c r="AD46" s="97">
        <f t="shared" si="16"/>
        <v>0</v>
      </c>
      <c r="AE46" s="97">
        <f t="shared" si="16"/>
        <v>0</v>
      </c>
      <c r="AF46" s="97">
        <f t="shared" si="16"/>
        <v>0</v>
      </c>
      <c r="AG46" s="97">
        <f t="shared" si="16"/>
        <v>0</v>
      </c>
      <c r="AH46" s="97">
        <f t="shared" si="16"/>
        <v>0</v>
      </c>
      <c r="AI46" s="210">
        <f t="shared" si="8"/>
        <v>-1602173</v>
      </c>
      <c r="AJ46" s="207" t="str">
        <f t="shared" si="9"/>
        <v>OK</v>
      </c>
    </row>
    <row r="47" spans="1:36" ht="51.75" customHeight="1" thickBot="1">
      <c r="A47" s="66">
        <v>37</v>
      </c>
      <c r="B47" s="88" t="s">
        <v>169</v>
      </c>
      <c r="C47" s="98" t="s">
        <v>170</v>
      </c>
      <c r="D47" s="51" t="s">
        <v>382</v>
      </c>
      <c r="E47" s="38" t="s">
        <v>779</v>
      </c>
      <c r="F47" s="26">
        <v>2933416</v>
      </c>
      <c r="G47" s="416"/>
      <c r="H47" s="416"/>
      <c r="I47" s="416"/>
      <c r="J47" s="644">
        <v>2939216</v>
      </c>
      <c r="K47" s="656">
        <v>-1469608</v>
      </c>
      <c r="L47" s="415">
        <v>3094705</v>
      </c>
      <c r="M47" s="416"/>
      <c r="N47" s="416"/>
      <c r="O47" s="416"/>
      <c r="P47" s="416"/>
      <c r="Q47" s="424">
        <f t="shared" si="14"/>
        <v>3094705</v>
      </c>
      <c r="R47" s="26">
        <v>-1547000</v>
      </c>
      <c r="S47" s="47"/>
      <c r="T47" s="48"/>
      <c r="U47" s="48"/>
      <c r="V47" s="49">
        <v>-1469608</v>
      </c>
      <c r="W47" s="119"/>
      <c r="X47" s="149"/>
      <c r="Y47" s="129" t="s">
        <v>54</v>
      </c>
      <c r="Z47" s="66" t="s">
        <v>421</v>
      </c>
      <c r="AA47" s="128">
        <f t="shared" si="11"/>
        <v>0</v>
      </c>
      <c r="AD47" s="25"/>
      <c r="AI47" s="210">
        <f t="shared" si="8"/>
        <v>0</v>
      </c>
      <c r="AJ47" s="207" t="str">
        <f t="shared" si="9"/>
        <v>OK</v>
      </c>
    </row>
    <row r="48" spans="1:36" ht="38.25" customHeight="1" thickBot="1">
      <c r="A48" s="66">
        <v>38</v>
      </c>
      <c r="B48" s="89"/>
      <c r="C48" s="91"/>
      <c r="D48" s="51" t="s">
        <v>383</v>
      </c>
      <c r="E48" s="38"/>
      <c r="F48" s="33">
        <v>282190</v>
      </c>
      <c r="G48" s="374"/>
      <c r="H48" s="374">
        <v>6076</v>
      </c>
      <c r="I48" s="623"/>
      <c r="J48" s="463">
        <v>276114</v>
      </c>
      <c r="K48" s="653">
        <v>-112876</v>
      </c>
      <c r="L48" s="415">
        <v>291348</v>
      </c>
      <c r="M48" s="374"/>
      <c r="N48" s="374">
        <v>4116</v>
      </c>
      <c r="O48" s="374"/>
      <c r="P48" s="374">
        <v>287232</v>
      </c>
      <c r="Q48" s="424">
        <f t="shared" si="14"/>
        <v>0</v>
      </c>
      <c r="R48" s="33">
        <v>-116539</v>
      </c>
      <c r="S48" s="47"/>
      <c r="T48" s="48">
        <v>-2430</v>
      </c>
      <c r="U48" s="48"/>
      <c r="V48" s="49">
        <v>-110446</v>
      </c>
      <c r="W48" s="119"/>
      <c r="X48" s="149"/>
      <c r="Y48" s="129" t="s">
        <v>16</v>
      </c>
      <c r="Z48" s="66" t="s">
        <v>421</v>
      </c>
      <c r="AA48" s="128">
        <f t="shared" si="11"/>
        <v>0</v>
      </c>
      <c r="AC48" s="66">
        <v>0</v>
      </c>
      <c r="AD48" s="35">
        <v>-876</v>
      </c>
      <c r="AE48" s="66">
        <v>0</v>
      </c>
      <c r="AF48" s="66">
        <v>0</v>
      </c>
      <c r="AG48" s="66">
        <v>0</v>
      </c>
      <c r="AH48" s="35">
        <v>-1554</v>
      </c>
      <c r="AI48" s="210">
        <f t="shared" si="8"/>
        <v>-2430</v>
      </c>
      <c r="AJ48" s="207" t="str">
        <f t="shared" si="9"/>
        <v>OK</v>
      </c>
    </row>
    <row r="49" spans="1:36" ht="37.5" customHeight="1">
      <c r="A49" s="66">
        <v>39</v>
      </c>
      <c r="B49" s="89"/>
      <c r="C49" s="90" t="s">
        <v>31</v>
      </c>
      <c r="D49" s="51" t="s">
        <v>32</v>
      </c>
      <c r="E49" s="38" t="s">
        <v>743</v>
      </c>
      <c r="F49" s="26">
        <v>3719012</v>
      </c>
      <c r="G49" s="416"/>
      <c r="H49" s="416"/>
      <c r="I49" s="416"/>
      <c r="J49" s="644"/>
      <c r="K49" s="656">
        <v>-3719012</v>
      </c>
      <c r="L49" s="415">
        <v>3571777</v>
      </c>
      <c r="M49" s="416"/>
      <c r="N49" s="416"/>
      <c r="O49" s="416"/>
      <c r="P49" s="416"/>
      <c r="Q49" s="424">
        <f t="shared" si="14"/>
        <v>3571777</v>
      </c>
      <c r="R49" s="26">
        <v>-3571777</v>
      </c>
      <c r="S49" s="47"/>
      <c r="T49" s="48"/>
      <c r="U49" s="48"/>
      <c r="V49" s="49">
        <v>-3719012</v>
      </c>
      <c r="W49" s="119"/>
      <c r="X49" s="149"/>
      <c r="Y49" s="129" t="s">
        <v>745</v>
      </c>
      <c r="Z49" s="66" t="s">
        <v>752</v>
      </c>
      <c r="AA49" s="128">
        <f t="shared" si="11"/>
        <v>0</v>
      </c>
      <c r="AI49" s="210">
        <f t="shared" si="8"/>
        <v>0</v>
      </c>
      <c r="AJ49" s="207" t="str">
        <f t="shared" si="9"/>
        <v>OK</v>
      </c>
    </row>
    <row r="50" spans="1:36" ht="50.25" customHeight="1">
      <c r="A50" s="66">
        <v>40</v>
      </c>
      <c r="B50" s="99"/>
      <c r="C50" s="91"/>
      <c r="D50" s="56"/>
      <c r="E50" s="38" t="s">
        <v>744</v>
      </c>
      <c r="F50" s="26">
        <v>60815</v>
      </c>
      <c r="G50" s="416"/>
      <c r="H50" s="416"/>
      <c r="I50" s="416"/>
      <c r="J50" s="644"/>
      <c r="K50" s="656">
        <v>-60815</v>
      </c>
      <c r="L50" s="415">
        <v>55621</v>
      </c>
      <c r="M50" s="416"/>
      <c r="N50" s="416"/>
      <c r="O50" s="416"/>
      <c r="P50" s="416"/>
      <c r="Q50" s="424">
        <f t="shared" si="14"/>
        <v>55621</v>
      </c>
      <c r="R50" s="26">
        <v>-55621</v>
      </c>
      <c r="S50" s="47"/>
      <c r="T50" s="48"/>
      <c r="U50" s="48"/>
      <c r="V50" s="49">
        <v>-60815</v>
      </c>
      <c r="W50" s="119"/>
      <c r="X50" s="149"/>
      <c r="Y50" s="129"/>
      <c r="Z50" s="66" t="s">
        <v>421</v>
      </c>
      <c r="AA50" s="128">
        <f t="shared" si="11"/>
        <v>0</v>
      </c>
      <c r="AI50" s="210">
        <f t="shared" si="8"/>
        <v>0</v>
      </c>
      <c r="AJ50" s="207" t="str">
        <f t="shared" si="9"/>
        <v>OK</v>
      </c>
    </row>
    <row r="51" spans="1:36" ht="50.25" customHeight="1">
      <c r="A51" s="66">
        <v>41</v>
      </c>
      <c r="B51" s="99"/>
      <c r="C51" s="91"/>
      <c r="D51" s="56"/>
      <c r="E51" s="38" t="s">
        <v>55</v>
      </c>
      <c r="F51" s="26">
        <v>2073</v>
      </c>
      <c r="G51" s="416"/>
      <c r="H51" s="416"/>
      <c r="I51" s="416"/>
      <c r="J51" s="644"/>
      <c r="K51" s="656">
        <v>-2073</v>
      </c>
      <c r="L51" s="415">
        <v>4073</v>
      </c>
      <c r="M51" s="416"/>
      <c r="N51" s="416"/>
      <c r="O51" s="416"/>
      <c r="P51" s="416"/>
      <c r="Q51" s="424">
        <f t="shared" si="14"/>
        <v>4073</v>
      </c>
      <c r="R51" s="26">
        <v>-4073</v>
      </c>
      <c r="S51" s="47"/>
      <c r="T51" s="48"/>
      <c r="U51" s="48"/>
      <c r="V51" s="49">
        <v>-2073</v>
      </c>
      <c r="W51" s="119"/>
      <c r="X51" s="149"/>
      <c r="Y51" s="129"/>
      <c r="Z51" s="66" t="s">
        <v>421</v>
      </c>
      <c r="AA51" s="128">
        <f t="shared" si="11"/>
        <v>0</v>
      </c>
      <c r="AI51" s="210">
        <f t="shared" si="8"/>
        <v>0</v>
      </c>
      <c r="AJ51" s="207" t="str">
        <f t="shared" si="9"/>
        <v>OK</v>
      </c>
    </row>
    <row r="52" spans="1:36" ht="50.25" customHeight="1">
      <c r="A52" s="66">
        <v>42</v>
      </c>
      <c r="B52" s="99"/>
      <c r="C52" s="91"/>
      <c r="D52" s="56"/>
      <c r="E52" s="38" t="s">
        <v>690</v>
      </c>
      <c r="F52" s="26">
        <v>1121</v>
      </c>
      <c r="G52" s="416"/>
      <c r="H52" s="416"/>
      <c r="I52" s="416"/>
      <c r="J52" s="644"/>
      <c r="K52" s="656">
        <v>-1121</v>
      </c>
      <c r="L52" s="415">
        <v>1121</v>
      </c>
      <c r="M52" s="416"/>
      <c r="N52" s="416"/>
      <c r="O52" s="416"/>
      <c r="P52" s="416"/>
      <c r="Q52" s="424">
        <f t="shared" si="14"/>
        <v>1121</v>
      </c>
      <c r="R52" s="26">
        <v>-1121</v>
      </c>
      <c r="S52" s="47"/>
      <c r="T52" s="48"/>
      <c r="U52" s="48"/>
      <c r="V52" s="49">
        <v>-1121</v>
      </c>
      <c r="W52" s="119"/>
      <c r="X52" s="149"/>
      <c r="Y52" s="129"/>
      <c r="Z52" s="66" t="s">
        <v>421</v>
      </c>
      <c r="AA52" s="128">
        <f t="shared" si="11"/>
        <v>0</v>
      </c>
      <c r="AI52" s="210">
        <f t="shared" si="8"/>
        <v>0</v>
      </c>
      <c r="AJ52" s="207" t="str">
        <f t="shared" si="9"/>
        <v>OK</v>
      </c>
    </row>
    <row r="53" spans="1:36" ht="50.25" customHeight="1">
      <c r="A53" s="66">
        <v>43</v>
      </c>
      <c r="B53" s="99"/>
      <c r="C53" s="91"/>
      <c r="D53" s="56"/>
      <c r="E53" s="38" t="s">
        <v>691</v>
      </c>
      <c r="F53" s="26">
        <v>1013</v>
      </c>
      <c r="G53" s="416"/>
      <c r="H53" s="416"/>
      <c r="I53" s="416"/>
      <c r="J53" s="644"/>
      <c r="K53" s="656">
        <v>-1013</v>
      </c>
      <c r="L53" s="415">
        <v>1013</v>
      </c>
      <c r="M53" s="416"/>
      <c r="N53" s="416"/>
      <c r="O53" s="416"/>
      <c r="P53" s="416"/>
      <c r="Q53" s="424">
        <f t="shared" si="14"/>
        <v>1013</v>
      </c>
      <c r="R53" s="26">
        <v>-1013</v>
      </c>
      <c r="S53" s="47"/>
      <c r="T53" s="48"/>
      <c r="U53" s="48"/>
      <c r="V53" s="49">
        <v>-1013</v>
      </c>
      <c r="W53" s="119"/>
      <c r="X53" s="149"/>
      <c r="Y53" s="129"/>
      <c r="Z53" s="66" t="s">
        <v>421</v>
      </c>
      <c r="AA53" s="128">
        <f t="shared" si="11"/>
        <v>0</v>
      </c>
      <c r="AI53" s="210">
        <f t="shared" si="8"/>
        <v>0</v>
      </c>
      <c r="AJ53" s="207" t="str">
        <f t="shared" si="9"/>
        <v>OK</v>
      </c>
    </row>
    <row r="54" spans="1:36" ht="50.25" customHeight="1" thickBot="1">
      <c r="A54" s="66">
        <v>44</v>
      </c>
      <c r="B54" s="99"/>
      <c r="C54" s="91"/>
      <c r="D54" s="51" t="s">
        <v>39</v>
      </c>
      <c r="E54" s="51" t="s">
        <v>33</v>
      </c>
      <c r="F54" s="30">
        <v>56379</v>
      </c>
      <c r="G54" s="427"/>
      <c r="H54" s="427"/>
      <c r="I54" s="427"/>
      <c r="J54" s="648"/>
      <c r="K54" s="658">
        <v>-28190</v>
      </c>
      <c r="L54" s="426">
        <v>63340</v>
      </c>
      <c r="M54" s="427"/>
      <c r="N54" s="427"/>
      <c r="O54" s="427"/>
      <c r="P54" s="427"/>
      <c r="Q54" s="424">
        <f t="shared" si="14"/>
        <v>63340</v>
      </c>
      <c r="R54" s="30">
        <v>-32000</v>
      </c>
      <c r="S54" s="52"/>
      <c r="T54" s="53"/>
      <c r="U54" s="53"/>
      <c r="V54" s="67">
        <v>-28190</v>
      </c>
      <c r="W54" s="120"/>
      <c r="X54" s="67"/>
      <c r="Y54" s="145" t="s">
        <v>34</v>
      </c>
      <c r="Z54" s="66" t="s">
        <v>421</v>
      </c>
      <c r="AA54" s="128">
        <f t="shared" si="11"/>
        <v>0</v>
      </c>
      <c r="AI54" s="210">
        <f t="shared" si="8"/>
        <v>0</v>
      </c>
      <c r="AJ54" s="207" t="str">
        <f t="shared" si="9"/>
        <v>OK</v>
      </c>
    </row>
    <row r="55" spans="2:36" ht="37.5" customHeight="1" thickBot="1">
      <c r="B55" s="95"/>
      <c r="C55" s="96"/>
      <c r="D55" s="57"/>
      <c r="E55" s="57" t="s">
        <v>403</v>
      </c>
      <c r="F55" s="59">
        <f aca="true" t="shared" si="17" ref="F55:L55">SUM(F47:F54)</f>
        <v>7056019</v>
      </c>
      <c r="G55" s="373">
        <f t="shared" si="17"/>
        <v>0</v>
      </c>
      <c r="H55" s="373">
        <f t="shared" si="17"/>
        <v>6076</v>
      </c>
      <c r="I55" s="373">
        <f t="shared" si="17"/>
        <v>0</v>
      </c>
      <c r="J55" s="662">
        <f t="shared" si="17"/>
        <v>3215330</v>
      </c>
      <c r="K55" s="669">
        <f t="shared" si="17"/>
        <v>-5394708</v>
      </c>
      <c r="L55" s="422">
        <f t="shared" si="17"/>
        <v>7082998</v>
      </c>
      <c r="M55" s="373"/>
      <c r="N55" s="373"/>
      <c r="O55" s="373"/>
      <c r="P55" s="373"/>
      <c r="Q55" s="424">
        <f t="shared" si="14"/>
        <v>7082998</v>
      </c>
      <c r="R55" s="59">
        <f>SUM(R47:R54)</f>
        <v>-5329144</v>
      </c>
      <c r="S55" s="60">
        <f>SUM(S47:S54)</f>
        <v>0</v>
      </c>
      <c r="T55" s="61">
        <f>SUM(T47:T54)</f>
        <v>-2430</v>
      </c>
      <c r="U55" s="61">
        <f>SUM(U47:U54)</f>
        <v>0</v>
      </c>
      <c r="V55" s="64">
        <f>SUM(V47:V54)</f>
        <v>-5392278</v>
      </c>
      <c r="W55" s="68"/>
      <c r="X55" s="64"/>
      <c r="Y55" s="144"/>
      <c r="AA55" s="128">
        <f t="shared" si="11"/>
        <v>0</v>
      </c>
      <c r="AC55" s="59">
        <f aca="true" t="shared" si="18" ref="AC55:AH55">SUM(AC47:AC54)</f>
        <v>0</v>
      </c>
      <c r="AD55" s="59">
        <f t="shared" si="18"/>
        <v>-876</v>
      </c>
      <c r="AE55" s="59">
        <f t="shared" si="18"/>
        <v>0</v>
      </c>
      <c r="AF55" s="59">
        <f t="shared" si="18"/>
        <v>0</v>
      </c>
      <c r="AG55" s="59">
        <f t="shared" si="18"/>
        <v>0</v>
      </c>
      <c r="AH55" s="59">
        <f t="shared" si="18"/>
        <v>-1554</v>
      </c>
      <c r="AI55" s="210">
        <f t="shared" si="8"/>
        <v>-2430</v>
      </c>
      <c r="AJ55" s="207" t="str">
        <f t="shared" si="9"/>
        <v>OK</v>
      </c>
    </row>
    <row r="56" spans="1:36" ht="72.75" customHeight="1">
      <c r="A56" s="66">
        <v>45</v>
      </c>
      <c r="B56" s="102" t="s">
        <v>285</v>
      </c>
      <c r="C56" s="98" t="s">
        <v>392</v>
      </c>
      <c r="D56" s="38" t="s">
        <v>444</v>
      </c>
      <c r="E56" s="38"/>
      <c r="F56" s="26">
        <v>2458810</v>
      </c>
      <c r="G56" s="416"/>
      <c r="H56" s="416"/>
      <c r="I56" s="416"/>
      <c r="J56" s="644"/>
      <c r="K56" s="656">
        <v>-1229405</v>
      </c>
      <c r="L56" s="415">
        <v>2981314</v>
      </c>
      <c r="M56" s="416"/>
      <c r="N56" s="416"/>
      <c r="O56" s="416"/>
      <c r="P56" s="416"/>
      <c r="Q56" s="424">
        <f t="shared" si="14"/>
        <v>2981314</v>
      </c>
      <c r="R56" s="26">
        <v>-1490657</v>
      </c>
      <c r="S56" s="47"/>
      <c r="T56" s="48"/>
      <c r="U56" s="48"/>
      <c r="V56" s="49">
        <v>-1229405</v>
      </c>
      <c r="W56" s="119"/>
      <c r="X56" s="149"/>
      <c r="Y56" s="129" t="s">
        <v>291</v>
      </c>
      <c r="Z56" s="66" t="s">
        <v>421</v>
      </c>
      <c r="AA56" s="128">
        <f t="shared" si="11"/>
        <v>0</v>
      </c>
      <c r="AC56" s="25"/>
      <c r="AG56" s="48"/>
      <c r="AI56" s="210">
        <f t="shared" si="8"/>
        <v>0</v>
      </c>
      <c r="AJ56" s="207" t="str">
        <f t="shared" si="9"/>
        <v>OK</v>
      </c>
    </row>
    <row r="57" spans="1:36" ht="63" customHeight="1">
      <c r="A57" s="66">
        <v>46</v>
      </c>
      <c r="B57" s="89"/>
      <c r="C57" s="90" t="s">
        <v>782</v>
      </c>
      <c r="D57" s="38" t="s">
        <v>712</v>
      </c>
      <c r="E57" s="38"/>
      <c r="F57" s="33">
        <v>264542</v>
      </c>
      <c r="G57" s="416"/>
      <c r="H57" s="416">
        <v>25527</v>
      </c>
      <c r="I57" s="416"/>
      <c r="J57" s="644">
        <v>239015</v>
      </c>
      <c r="K57" s="653">
        <v>-92589</v>
      </c>
      <c r="L57" s="415">
        <v>281532</v>
      </c>
      <c r="M57" s="416"/>
      <c r="N57" s="416">
        <v>24527</v>
      </c>
      <c r="O57" s="416"/>
      <c r="P57" s="416">
        <v>257005</v>
      </c>
      <c r="Q57" s="424">
        <f t="shared" si="14"/>
        <v>0</v>
      </c>
      <c r="R57" s="33">
        <v>-98500</v>
      </c>
      <c r="S57" s="34"/>
      <c r="T57" s="35">
        <v>-8934</v>
      </c>
      <c r="U57" s="35"/>
      <c r="V57" s="27">
        <v>-83655</v>
      </c>
      <c r="W57" s="119"/>
      <c r="X57" s="149"/>
      <c r="Y57" s="129" t="s">
        <v>292</v>
      </c>
      <c r="Z57" s="66" t="s">
        <v>421</v>
      </c>
      <c r="AA57" s="128">
        <f t="shared" si="11"/>
        <v>0</v>
      </c>
      <c r="AC57" s="66">
        <v>-5434</v>
      </c>
      <c r="AH57" s="66">
        <v>-3500</v>
      </c>
      <c r="AI57" s="210">
        <f t="shared" si="8"/>
        <v>-8934</v>
      </c>
      <c r="AJ57" s="207" t="str">
        <f t="shared" si="9"/>
        <v>OK</v>
      </c>
    </row>
    <row r="58" spans="1:36" ht="50.25" customHeight="1">
      <c r="A58" s="66">
        <v>47</v>
      </c>
      <c r="B58" s="99"/>
      <c r="D58" s="38" t="s">
        <v>73</v>
      </c>
      <c r="E58" s="38" t="s">
        <v>76</v>
      </c>
      <c r="F58" s="26">
        <v>3827390</v>
      </c>
      <c r="G58" s="416"/>
      <c r="H58" s="416"/>
      <c r="I58" s="416">
        <v>3826600</v>
      </c>
      <c r="J58" s="644">
        <v>790</v>
      </c>
      <c r="K58" s="656">
        <v>-3827390</v>
      </c>
      <c r="L58" s="415">
        <v>3827390</v>
      </c>
      <c r="M58" s="416"/>
      <c r="N58" s="416"/>
      <c r="O58" s="416"/>
      <c r="P58" s="416"/>
      <c r="Q58" s="424">
        <f t="shared" si="14"/>
        <v>3827390</v>
      </c>
      <c r="R58" s="26">
        <v>-3827390</v>
      </c>
      <c r="S58" s="47"/>
      <c r="T58" s="48"/>
      <c r="U58" s="48">
        <v>-3826600</v>
      </c>
      <c r="V58" s="49">
        <v>-790</v>
      </c>
      <c r="W58" s="119"/>
      <c r="X58" s="149"/>
      <c r="Y58" s="129" t="s">
        <v>74</v>
      </c>
      <c r="Z58" s="66" t="s">
        <v>421</v>
      </c>
      <c r="AA58" s="128">
        <f t="shared" si="11"/>
        <v>0</v>
      </c>
      <c r="AC58" s="25"/>
      <c r="AI58" s="210">
        <f t="shared" si="8"/>
        <v>0</v>
      </c>
      <c r="AJ58" s="207" t="str">
        <f t="shared" si="9"/>
        <v>OK</v>
      </c>
    </row>
    <row r="59" spans="1:36" ht="50.25" customHeight="1">
      <c r="A59" s="66">
        <v>48</v>
      </c>
      <c r="B59" s="99"/>
      <c r="C59" s="91"/>
      <c r="D59" s="51" t="s">
        <v>372</v>
      </c>
      <c r="E59" s="38" t="s">
        <v>520</v>
      </c>
      <c r="F59" s="26">
        <v>301000</v>
      </c>
      <c r="G59" s="416"/>
      <c r="H59" s="416">
        <v>301000</v>
      </c>
      <c r="I59" s="416"/>
      <c r="J59" s="644"/>
      <c r="K59" s="656">
        <v>-301000</v>
      </c>
      <c r="L59" s="415">
        <v>382000</v>
      </c>
      <c r="M59" s="416"/>
      <c r="N59" s="416"/>
      <c r="O59" s="416"/>
      <c r="P59" s="416"/>
      <c r="Q59" s="424">
        <f t="shared" si="14"/>
        <v>382000</v>
      </c>
      <c r="R59" s="26">
        <v>-382000</v>
      </c>
      <c r="S59" s="47"/>
      <c r="T59" s="48">
        <v>-301000</v>
      </c>
      <c r="U59" s="48"/>
      <c r="V59" s="49"/>
      <c r="W59" s="119"/>
      <c r="X59" s="149"/>
      <c r="Y59" s="129" t="s">
        <v>36</v>
      </c>
      <c r="Z59" s="66" t="s">
        <v>421</v>
      </c>
      <c r="AA59" s="128">
        <f t="shared" si="11"/>
        <v>0</v>
      </c>
      <c r="AC59" s="25"/>
      <c r="AH59" s="614">
        <v>-301000</v>
      </c>
      <c r="AI59" s="210">
        <f t="shared" si="8"/>
        <v>-301000</v>
      </c>
      <c r="AJ59" s="207" t="str">
        <f t="shared" si="9"/>
        <v>OK</v>
      </c>
    </row>
    <row r="60" spans="1:36" ht="50.25" customHeight="1">
      <c r="A60" s="66">
        <v>49</v>
      </c>
      <c r="B60" s="99"/>
      <c r="C60" s="91"/>
      <c r="D60" s="56"/>
      <c r="E60" s="38" t="s">
        <v>372</v>
      </c>
      <c r="F60" s="26">
        <v>580</v>
      </c>
      <c r="G60" s="416"/>
      <c r="H60" s="416"/>
      <c r="I60" s="416"/>
      <c r="J60" s="644">
        <v>580</v>
      </c>
      <c r="K60" s="656">
        <v>-580</v>
      </c>
      <c r="L60" s="415">
        <v>780</v>
      </c>
      <c r="M60" s="416"/>
      <c r="N60" s="416"/>
      <c r="O60" s="416"/>
      <c r="P60" s="416"/>
      <c r="Q60" s="424">
        <f t="shared" si="14"/>
        <v>780</v>
      </c>
      <c r="R60" s="26">
        <v>-780</v>
      </c>
      <c r="S60" s="47"/>
      <c r="T60" s="48"/>
      <c r="U60" s="48"/>
      <c r="V60" s="49">
        <v>-580</v>
      </c>
      <c r="W60" s="119"/>
      <c r="X60" s="149"/>
      <c r="Y60" s="129"/>
      <c r="Z60" s="66" t="s">
        <v>421</v>
      </c>
      <c r="AA60" s="128">
        <f t="shared" si="11"/>
        <v>0</v>
      </c>
      <c r="AC60" s="25"/>
      <c r="AI60" s="210">
        <f t="shared" si="8"/>
        <v>0</v>
      </c>
      <c r="AJ60" s="207" t="str">
        <f t="shared" si="9"/>
        <v>OK</v>
      </c>
    </row>
    <row r="61" spans="1:36" ht="50.25" customHeight="1">
      <c r="A61" s="66">
        <v>50</v>
      </c>
      <c r="B61" s="99"/>
      <c r="C61" s="91"/>
      <c r="D61" s="51" t="s">
        <v>202</v>
      </c>
      <c r="E61" s="38" t="s">
        <v>417</v>
      </c>
      <c r="F61" s="33">
        <v>446700</v>
      </c>
      <c r="G61" s="428"/>
      <c r="H61" s="428"/>
      <c r="I61" s="490"/>
      <c r="J61" s="666"/>
      <c r="K61" s="653">
        <v>-446700</v>
      </c>
      <c r="L61" s="415">
        <v>189000</v>
      </c>
      <c r="M61" s="428"/>
      <c r="N61" s="428"/>
      <c r="O61" s="428"/>
      <c r="P61" s="429"/>
      <c r="Q61" s="424">
        <f t="shared" si="14"/>
        <v>189000</v>
      </c>
      <c r="R61" s="33">
        <v>-189000</v>
      </c>
      <c r="S61" s="47"/>
      <c r="T61" s="48"/>
      <c r="U61" s="48">
        <v>-445000</v>
      </c>
      <c r="V61" s="49">
        <v>-1700</v>
      </c>
      <c r="W61" s="119"/>
      <c r="X61" s="149"/>
      <c r="Y61" s="129" t="s">
        <v>757</v>
      </c>
      <c r="Z61" s="66" t="s">
        <v>421</v>
      </c>
      <c r="AA61" s="128">
        <f t="shared" si="11"/>
        <v>0</v>
      </c>
      <c r="AC61" s="25"/>
      <c r="AI61" s="210">
        <f t="shared" si="8"/>
        <v>0</v>
      </c>
      <c r="AJ61" s="207" t="str">
        <f t="shared" si="9"/>
        <v>OK</v>
      </c>
    </row>
    <row r="62" spans="1:36" ht="50.25" customHeight="1">
      <c r="A62" s="66">
        <v>51</v>
      </c>
      <c r="B62" s="99"/>
      <c r="C62" s="91"/>
      <c r="D62" s="38" t="s">
        <v>783</v>
      </c>
      <c r="E62" s="38"/>
      <c r="F62" s="26">
        <v>30000</v>
      </c>
      <c r="G62" s="425"/>
      <c r="H62" s="425"/>
      <c r="I62" s="617"/>
      <c r="J62" s="647">
        <v>30000</v>
      </c>
      <c r="K62" s="656">
        <v>-20000</v>
      </c>
      <c r="L62" s="415">
        <v>30000</v>
      </c>
      <c r="M62" s="425"/>
      <c r="N62" s="425"/>
      <c r="O62" s="425"/>
      <c r="P62" s="425"/>
      <c r="Q62" s="424">
        <f t="shared" si="14"/>
        <v>30000</v>
      </c>
      <c r="R62" s="26">
        <v>-30000</v>
      </c>
      <c r="S62" s="47"/>
      <c r="T62" s="48"/>
      <c r="U62" s="48"/>
      <c r="V62" s="49">
        <v>-20000</v>
      </c>
      <c r="W62" s="119"/>
      <c r="X62" s="149"/>
      <c r="Y62" s="129" t="s">
        <v>798</v>
      </c>
      <c r="Z62" s="66" t="s">
        <v>421</v>
      </c>
      <c r="AA62" s="128">
        <f t="shared" si="11"/>
        <v>0</v>
      </c>
      <c r="AC62" s="25"/>
      <c r="AI62" s="210">
        <f t="shared" si="8"/>
        <v>0</v>
      </c>
      <c r="AJ62" s="207" t="str">
        <f t="shared" si="9"/>
        <v>OK</v>
      </c>
    </row>
    <row r="63" spans="1:36" ht="50.25" customHeight="1">
      <c r="A63" s="66">
        <v>52</v>
      </c>
      <c r="B63" s="99"/>
      <c r="C63" s="92"/>
      <c r="D63" s="38" t="s">
        <v>204</v>
      </c>
      <c r="E63" s="38" t="s">
        <v>205</v>
      </c>
      <c r="F63" s="33">
        <v>3878980</v>
      </c>
      <c r="G63" s="428">
        <v>21000</v>
      </c>
      <c r="H63" s="428">
        <v>22690</v>
      </c>
      <c r="I63" s="490">
        <v>3591600</v>
      </c>
      <c r="J63" s="665">
        <v>243690</v>
      </c>
      <c r="K63" s="653">
        <v>-1939490</v>
      </c>
      <c r="L63" s="415">
        <v>4801495</v>
      </c>
      <c r="M63" s="428">
        <v>890766</v>
      </c>
      <c r="N63" s="428">
        <v>6711</v>
      </c>
      <c r="O63" s="428">
        <v>3887200</v>
      </c>
      <c r="P63" s="429">
        <v>16818</v>
      </c>
      <c r="Q63" s="424">
        <f t="shared" si="14"/>
        <v>0</v>
      </c>
      <c r="R63" s="33">
        <v>-2400000</v>
      </c>
      <c r="S63" s="34">
        <v>-10500</v>
      </c>
      <c r="T63" s="34">
        <v>-11345</v>
      </c>
      <c r="U63" s="48">
        <v>-1795800</v>
      </c>
      <c r="V63" s="49">
        <v>-121845</v>
      </c>
      <c r="W63" s="119"/>
      <c r="X63" s="149"/>
      <c r="Y63" s="129" t="s">
        <v>291</v>
      </c>
      <c r="Z63" s="66" t="s">
        <v>421</v>
      </c>
      <c r="AA63" s="128">
        <f t="shared" si="11"/>
        <v>0</v>
      </c>
      <c r="AC63" s="611">
        <v>-11345</v>
      </c>
      <c r="AD63" s="209">
        <v>0</v>
      </c>
      <c r="AE63" s="209">
        <v>0</v>
      </c>
      <c r="AF63" s="209">
        <v>0</v>
      </c>
      <c r="AG63" s="209">
        <v>0</v>
      </c>
      <c r="AH63" s="209">
        <v>0</v>
      </c>
      <c r="AI63" s="210">
        <f t="shared" si="8"/>
        <v>-11345</v>
      </c>
      <c r="AJ63" s="207" t="str">
        <f t="shared" si="9"/>
        <v>OK</v>
      </c>
    </row>
    <row r="64" spans="1:36" ht="77.25" customHeight="1">
      <c r="A64" s="66">
        <v>53</v>
      </c>
      <c r="B64" s="99"/>
      <c r="C64" s="90" t="s">
        <v>206</v>
      </c>
      <c r="D64" s="38" t="s">
        <v>207</v>
      </c>
      <c r="E64" s="38" t="s">
        <v>208</v>
      </c>
      <c r="F64" s="33">
        <v>18795443</v>
      </c>
      <c r="G64" s="428">
        <v>9589100</v>
      </c>
      <c r="H64" s="428">
        <v>529443</v>
      </c>
      <c r="I64" s="490">
        <v>8128200</v>
      </c>
      <c r="J64" s="666">
        <v>548700</v>
      </c>
      <c r="K64" s="653">
        <v>-9397722</v>
      </c>
      <c r="L64" s="415">
        <v>10212138</v>
      </c>
      <c r="M64" s="428">
        <v>5657152</v>
      </c>
      <c r="N64" s="428">
        <v>276509</v>
      </c>
      <c r="O64" s="428">
        <v>4277800</v>
      </c>
      <c r="P64" s="429">
        <v>677</v>
      </c>
      <c r="Q64" s="424">
        <f t="shared" si="14"/>
        <v>0</v>
      </c>
      <c r="R64" s="33">
        <v>-5106000</v>
      </c>
      <c r="S64" s="34">
        <v>-4794550</v>
      </c>
      <c r="T64" s="48">
        <v>-264722</v>
      </c>
      <c r="U64" s="48">
        <v>-4064100</v>
      </c>
      <c r="V64" s="49">
        <v>-274350</v>
      </c>
      <c r="W64" s="119"/>
      <c r="X64" s="149"/>
      <c r="Y64" s="129" t="s">
        <v>252</v>
      </c>
      <c r="Z64" s="66" t="s">
        <v>421</v>
      </c>
      <c r="AA64" s="128">
        <f t="shared" si="11"/>
        <v>0</v>
      </c>
      <c r="AC64" s="614">
        <v>-264722</v>
      </c>
      <c r="AD64" s="209">
        <v>0</v>
      </c>
      <c r="AE64" s="209">
        <v>0</v>
      </c>
      <c r="AF64" s="209">
        <v>0</v>
      </c>
      <c r="AG64" s="209">
        <v>0</v>
      </c>
      <c r="AH64" s="209">
        <v>0</v>
      </c>
      <c r="AI64" s="210">
        <f t="shared" si="8"/>
        <v>-264722</v>
      </c>
      <c r="AJ64" s="207" t="str">
        <f t="shared" si="9"/>
        <v>OK</v>
      </c>
    </row>
    <row r="65" spans="1:36" ht="50.25" customHeight="1">
      <c r="A65" s="66">
        <v>54</v>
      </c>
      <c r="B65" s="99"/>
      <c r="C65" s="91"/>
      <c r="D65" s="38" t="s">
        <v>409</v>
      </c>
      <c r="E65" s="38" t="s">
        <v>410</v>
      </c>
      <c r="F65" s="33">
        <v>4100908</v>
      </c>
      <c r="G65" s="428"/>
      <c r="H65" s="428">
        <v>10300</v>
      </c>
      <c r="I65" s="490">
        <v>4088000</v>
      </c>
      <c r="J65" s="666">
        <v>2608</v>
      </c>
      <c r="K65" s="653">
        <v>-1435318</v>
      </c>
      <c r="L65" s="415">
        <v>8480808</v>
      </c>
      <c r="M65" s="428">
        <v>0</v>
      </c>
      <c r="N65" s="428">
        <v>470</v>
      </c>
      <c r="O65" s="428">
        <v>8471800</v>
      </c>
      <c r="P65" s="429">
        <v>8538</v>
      </c>
      <c r="Q65" s="424">
        <v>0</v>
      </c>
      <c r="R65" s="33">
        <v>-2968000</v>
      </c>
      <c r="S65" s="34">
        <v>0</v>
      </c>
      <c r="T65" s="48">
        <v>-3605</v>
      </c>
      <c r="U65" s="48">
        <v>-1430800</v>
      </c>
      <c r="V65" s="49">
        <v>-913</v>
      </c>
      <c r="W65" s="119"/>
      <c r="X65" s="149"/>
      <c r="Y65" s="129" t="s">
        <v>292</v>
      </c>
      <c r="Z65" s="66" t="s">
        <v>421</v>
      </c>
      <c r="AA65" s="128">
        <f t="shared" si="11"/>
        <v>0</v>
      </c>
      <c r="AC65" s="614">
        <v>-3605</v>
      </c>
      <c r="AD65" s="209">
        <v>0</v>
      </c>
      <c r="AE65" s="209">
        <v>0</v>
      </c>
      <c r="AF65" s="209">
        <v>0</v>
      </c>
      <c r="AG65" s="209">
        <v>0</v>
      </c>
      <c r="AH65" s="209">
        <v>0</v>
      </c>
      <c r="AI65" s="210">
        <f t="shared" si="8"/>
        <v>-3605</v>
      </c>
      <c r="AJ65" s="207" t="str">
        <f t="shared" si="9"/>
        <v>OK</v>
      </c>
    </row>
    <row r="66" spans="1:36" ht="57.75" customHeight="1">
      <c r="A66" s="66">
        <v>55</v>
      </c>
      <c r="B66" s="99"/>
      <c r="C66" s="92"/>
      <c r="D66" s="38" t="s">
        <v>411</v>
      </c>
      <c r="E66" s="38" t="s">
        <v>210</v>
      </c>
      <c r="F66" s="26">
        <v>8263870</v>
      </c>
      <c r="G66" s="425"/>
      <c r="H66" s="425"/>
      <c r="I66" s="617">
        <v>8255400</v>
      </c>
      <c r="J66" s="647">
        <v>8470</v>
      </c>
      <c r="K66" s="656">
        <v>-8263870</v>
      </c>
      <c r="L66" s="415">
        <v>12159555</v>
      </c>
      <c r="M66" s="425"/>
      <c r="N66" s="425"/>
      <c r="O66" s="425"/>
      <c r="P66" s="425"/>
      <c r="Q66" s="424">
        <f>L66-M66-N66-O66-P66</f>
        <v>12159555</v>
      </c>
      <c r="R66" s="26">
        <v>-12159555</v>
      </c>
      <c r="S66" s="47"/>
      <c r="T66" s="48"/>
      <c r="U66" s="48">
        <v>-8255400</v>
      </c>
      <c r="V66" s="49">
        <v>-8470</v>
      </c>
      <c r="W66" s="119"/>
      <c r="X66" s="149"/>
      <c r="Y66" s="129" t="s">
        <v>77</v>
      </c>
      <c r="Z66" s="66" t="s">
        <v>421</v>
      </c>
      <c r="AA66" s="128">
        <f t="shared" si="11"/>
        <v>0</v>
      </c>
      <c r="AC66" s="209"/>
      <c r="AD66" s="209"/>
      <c r="AE66" s="209"/>
      <c r="AF66" s="209"/>
      <c r="AG66" s="209"/>
      <c r="AH66" s="209"/>
      <c r="AI66" s="210">
        <f aca="true" t="shared" si="19" ref="AI66:AI97">SUM(AC66:AH66)</f>
        <v>0</v>
      </c>
      <c r="AJ66" s="207" t="str">
        <f aca="true" t="shared" si="20" ref="AJ66:AJ97">IF(T66=AI66,"OK","OUT")</f>
        <v>OK</v>
      </c>
    </row>
    <row r="67" spans="1:36" ht="57.75" customHeight="1">
      <c r="A67" s="66">
        <v>56</v>
      </c>
      <c r="B67" s="99"/>
      <c r="C67" s="90" t="s">
        <v>526</v>
      </c>
      <c r="D67" s="38" t="s">
        <v>526</v>
      </c>
      <c r="E67" s="38" t="s">
        <v>844</v>
      </c>
      <c r="F67" s="33">
        <v>10380</v>
      </c>
      <c r="G67" s="425"/>
      <c r="H67" s="425"/>
      <c r="I67" s="617"/>
      <c r="J67" s="647"/>
      <c r="K67" s="653">
        <v>-3380</v>
      </c>
      <c r="L67" s="415">
        <v>2980</v>
      </c>
      <c r="M67" s="425"/>
      <c r="N67" s="425"/>
      <c r="O67" s="425"/>
      <c r="P67" s="425"/>
      <c r="Q67" s="424">
        <f>L67-M67-N67-O67-P67</f>
        <v>2980</v>
      </c>
      <c r="R67" s="33">
        <v>-2980</v>
      </c>
      <c r="S67" s="47"/>
      <c r="T67" s="48"/>
      <c r="U67" s="48"/>
      <c r="V67" s="49">
        <v>-3380</v>
      </c>
      <c r="W67" s="119"/>
      <c r="X67" s="149"/>
      <c r="Y67" s="129" t="s">
        <v>845</v>
      </c>
      <c r="Z67" s="66" t="s">
        <v>421</v>
      </c>
      <c r="AA67" s="128">
        <f t="shared" si="11"/>
        <v>0</v>
      </c>
      <c r="AC67" s="209"/>
      <c r="AD67" s="209"/>
      <c r="AE67" s="209"/>
      <c r="AF67" s="209"/>
      <c r="AG67" s="209"/>
      <c r="AH67" s="209"/>
      <c r="AI67" s="210">
        <f t="shared" si="19"/>
        <v>0</v>
      </c>
      <c r="AJ67" s="207" t="str">
        <f t="shared" si="20"/>
        <v>OK</v>
      </c>
    </row>
    <row r="68" spans="1:36" ht="50.25" customHeight="1">
      <c r="A68" s="66">
        <v>57</v>
      </c>
      <c r="B68" s="99"/>
      <c r="C68" s="92"/>
      <c r="D68" s="38" t="s">
        <v>785</v>
      </c>
      <c r="E68" s="38"/>
      <c r="F68" s="33">
        <v>318818</v>
      </c>
      <c r="G68" s="428"/>
      <c r="H68" s="428">
        <v>74866</v>
      </c>
      <c r="I68" s="490"/>
      <c r="J68" s="666">
        <v>243952</v>
      </c>
      <c r="K68" s="653">
        <v>-111586</v>
      </c>
      <c r="L68" s="415">
        <v>344865</v>
      </c>
      <c r="M68" s="428">
        <v>0</v>
      </c>
      <c r="N68" s="428">
        <v>87131</v>
      </c>
      <c r="O68" s="428">
        <v>0</v>
      </c>
      <c r="P68" s="429">
        <v>257734</v>
      </c>
      <c r="Q68" s="424">
        <f>L68-M68-N68-O68-P68</f>
        <v>0</v>
      </c>
      <c r="R68" s="33">
        <v>-120500</v>
      </c>
      <c r="S68" s="34"/>
      <c r="T68" s="48">
        <v>-26203</v>
      </c>
      <c r="U68" s="48"/>
      <c r="V68" s="49">
        <v>-85383</v>
      </c>
      <c r="W68" s="119"/>
      <c r="X68" s="149"/>
      <c r="Y68" s="129" t="s">
        <v>525</v>
      </c>
      <c r="Z68" s="66" t="s">
        <v>421</v>
      </c>
      <c r="AA68" s="128">
        <f t="shared" si="11"/>
        <v>0</v>
      </c>
      <c r="AC68" s="614">
        <v>-26203</v>
      </c>
      <c r="AD68" s="209">
        <v>0</v>
      </c>
      <c r="AE68" s="209">
        <v>0</v>
      </c>
      <c r="AF68" s="209">
        <v>0</v>
      </c>
      <c r="AG68" s="209">
        <v>0</v>
      </c>
      <c r="AH68" s="209">
        <v>0</v>
      </c>
      <c r="AI68" s="210">
        <f t="shared" si="19"/>
        <v>-26203</v>
      </c>
      <c r="AJ68" s="207" t="str">
        <f t="shared" si="20"/>
        <v>OK</v>
      </c>
    </row>
    <row r="69" spans="1:36" ht="50.25" customHeight="1">
      <c r="A69" s="66">
        <v>58</v>
      </c>
      <c r="B69" s="99"/>
      <c r="C69" s="91" t="s">
        <v>527</v>
      </c>
      <c r="D69" s="38" t="s">
        <v>211</v>
      </c>
      <c r="E69" s="38" t="s">
        <v>212</v>
      </c>
      <c r="F69" s="33">
        <v>2141000</v>
      </c>
      <c r="G69" s="428">
        <v>1048155</v>
      </c>
      <c r="H69" s="428">
        <v>44689</v>
      </c>
      <c r="I69" s="490">
        <v>1047200</v>
      </c>
      <c r="J69" s="666">
        <v>956</v>
      </c>
      <c r="K69" s="653">
        <v>-2141000</v>
      </c>
      <c r="L69" s="415">
        <v>1108600</v>
      </c>
      <c r="M69" s="428">
        <v>548079</v>
      </c>
      <c r="N69" s="428">
        <v>12443</v>
      </c>
      <c r="O69" s="428">
        <v>546900</v>
      </c>
      <c r="P69" s="429">
        <v>1178</v>
      </c>
      <c r="Q69" s="424">
        <f>L69-M69-N69-O69-P69</f>
        <v>0</v>
      </c>
      <c r="R69" s="33">
        <v>-1108600</v>
      </c>
      <c r="S69" s="47">
        <v>-1048155</v>
      </c>
      <c r="T69" s="48">
        <v>-44689</v>
      </c>
      <c r="U69" s="48">
        <v>-1047200</v>
      </c>
      <c r="V69" s="49">
        <v>-956</v>
      </c>
      <c r="W69" s="119"/>
      <c r="X69" s="149"/>
      <c r="Y69" s="129" t="s">
        <v>485</v>
      </c>
      <c r="Z69" s="66" t="s">
        <v>421</v>
      </c>
      <c r="AA69" s="128">
        <f aca="true" t="shared" si="21" ref="AA69:AA100">K69-S69-T69-U69-V69</f>
        <v>0</v>
      </c>
      <c r="AC69" s="614">
        <v>-44689</v>
      </c>
      <c r="AD69" s="209">
        <v>0</v>
      </c>
      <c r="AE69" s="209">
        <v>0</v>
      </c>
      <c r="AF69" s="209">
        <v>0</v>
      </c>
      <c r="AG69" s="209">
        <v>0</v>
      </c>
      <c r="AH69" s="209">
        <v>0</v>
      </c>
      <c r="AI69" s="210">
        <f t="shared" si="19"/>
        <v>-44689</v>
      </c>
      <c r="AJ69" s="207" t="str">
        <f t="shared" si="20"/>
        <v>OK</v>
      </c>
    </row>
    <row r="70" spans="1:36" ht="50.25" customHeight="1">
      <c r="A70" s="66">
        <v>59</v>
      </c>
      <c r="B70" s="99"/>
      <c r="C70" s="91"/>
      <c r="D70" s="38" t="s">
        <v>216</v>
      </c>
      <c r="E70" s="38" t="s">
        <v>217</v>
      </c>
      <c r="F70" s="33">
        <v>512700</v>
      </c>
      <c r="G70" s="428"/>
      <c r="H70" s="428">
        <v>76349</v>
      </c>
      <c r="I70" s="490">
        <v>436000</v>
      </c>
      <c r="J70" s="666">
        <v>351</v>
      </c>
      <c r="K70" s="653">
        <v>-256350</v>
      </c>
      <c r="L70" s="415">
        <v>487000</v>
      </c>
      <c r="M70" s="428">
        <v>0</v>
      </c>
      <c r="N70" s="428">
        <v>120687</v>
      </c>
      <c r="O70" s="428">
        <v>365500</v>
      </c>
      <c r="P70" s="429">
        <v>813</v>
      </c>
      <c r="Q70" s="424">
        <v>0</v>
      </c>
      <c r="R70" s="33">
        <v>-243500</v>
      </c>
      <c r="S70" s="34"/>
      <c r="T70" s="48">
        <v>-38174</v>
      </c>
      <c r="U70" s="48">
        <v>-218000</v>
      </c>
      <c r="V70" s="49">
        <v>-176</v>
      </c>
      <c r="W70" s="119"/>
      <c r="X70" s="149"/>
      <c r="Y70" s="129" t="s">
        <v>395</v>
      </c>
      <c r="Z70" s="66" t="s">
        <v>421</v>
      </c>
      <c r="AA70" s="128">
        <f t="shared" si="21"/>
        <v>0</v>
      </c>
      <c r="AC70" s="614">
        <v>-38174</v>
      </c>
      <c r="AD70" s="209">
        <v>0</v>
      </c>
      <c r="AE70" s="209">
        <v>0</v>
      </c>
      <c r="AF70" s="209">
        <v>0</v>
      </c>
      <c r="AG70" s="209">
        <v>0</v>
      </c>
      <c r="AH70" s="209">
        <v>0</v>
      </c>
      <c r="AI70" s="210">
        <f t="shared" si="19"/>
        <v>-38174</v>
      </c>
      <c r="AJ70" s="207" t="str">
        <f t="shared" si="20"/>
        <v>OK</v>
      </c>
    </row>
    <row r="71" spans="1:36" ht="60.75" customHeight="1">
      <c r="A71" s="66">
        <v>60</v>
      </c>
      <c r="B71" s="99"/>
      <c r="C71" s="92"/>
      <c r="D71" s="38" t="s">
        <v>218</v>
      </c>
      <c r="E71" s="38" t="s">
        <v>666</v>
      </c>
      <c r="F71" s="26">
        <v>3329000</v>
      </c>
      <c r="G71" s="425"/>
      <c r="H71" s="425"/>
      <c r="I71" s="617">
        <v>3278000</v>
      </c>
      <c r="J71" s="647">
        <v>51000</v>
      </c>
      <c r="K71" s="656">
        <v>-3329000</v>
      </c>
      <c r="L71" s="415">
        <v>7228000</v>
      </c>
      <c r="M71" s="425"/>
      <c r="N71" s="425"/>
      <c r="O71" s="425"/>
      <c r="P71" s="425"/>
      <c r="Q71" s="424">
        <f>L71-M71-N71-O71-P71</f>
        <v>7228000</v>
      </c>
      <c r="R71" s="26">
        <v>-7228000</v>
      </c>
      <c r="S71" s="47"/>
      <c r="T71" s="48"/>
      <c r="U71" s="48">
        <v>-3278000</v>
      </c>
      <c r="V71" s="49">
        <v>-51000</v>
      </c>
      <c r="W71" s="119"/>
      <c r="X71" s="149"/>
      <c r="Y71" s="129" t="s">
        <v>373</v>
      </c>
      <c r="Z71" s="66" t="s">
        <v>421</v>
      </c>
      <c r="AA71" s="128">
        <f t="shared" si="21"/>
        <v>0</v>
      </c>
      <c r="AC71" s="209"/>
      <c r="AD71" s="209"/>
      <c r="AE71" s="209"/>
      <c r="AF71" s="209"/>
      <c r="AG71" s="209"/>
      <c r="AH71" s="209"/>
      <c r="AI71" s="210">
        <f t="shared" si="19"/>
        <v>0</v>
      </c>
      <c r="AJ71" s="207" t="str">
        <f t="shared" si="20"/>
        <v>OK</v>
      </c>
    </row>
    <row r="72" spans="1:36" ht="70.5" customHeight="1">
      <c r="A72" s="66">
        <v>61</v>
      </c>
      <c r="B72" s="99"/>
      <c r="C72" s="90" t="s">
        <v>219</v>
      </c>
      <c r="D72" s="38" t="s">
        <v>220</v>
      </c>
      <c r="E72" s="38" t="s">
        <v>762</v>
      </c>
      <c r="F72" s="33">
        <v>458000</v>
      </c>
      <c r="G72" s="428">
        <v>218000</v>
      </c>
      <c r="H72" s="428"/>
      <c r="I72" s="490">
        <v>238400</v>
      </c>
      <c r="J72" s="666">
        <v>1600</v>
      </c>
      <c r="K72" s="653">
        <v>-160300</v>
      </c>
      <c r="L72" s="415">
        <v>478850</v>
      </c>
      <c r="M72" s="428">
        <v>230118</v>
      </c>
      <c r="N72" s="428">
        <v>0</v>
      </c>
      <c r="O72" s="428">
        <v>247600</v>
      </c>
      <c r="P72" s="429">
        <v>1132</v>
      </c>
      <c r="Q72" s="424">
        <v>0</v>
      </c>
      <c r="R72" s="33">
        <v>-167000</v>
      </c>
      <c r="S72" s="34">
        <v>-76300</v>
      </c>
      <c r="T72" s="48"/>
      <c r="U72" s="48">
        <v>-83400</v>
      </c>
      <c r="V72" s="49">
        <v>-600</v>
      </c>
      <c r="W72" s="119"/>
      <c r="X72" s="149"/>
      <c r="Y72" s="129" t="s">
        <v>528</v>
      </c>
      <c r="Z72" s="66" t="s">
        <v>421</v>
      </c>
      <c r="AA72" s="128">
        <f t="shared" si="21"/>
        <v>0</v>
      </c>
      <c r="AC72" s="209"/>
      <c r="AD72" s="209"/>
      <c r="AE72" s="209"/>
      <c r="AF72" s="209"/>
      <c r="AG72" s="209"/>
      <c r="AH72" s="209"/>
      <c r="AI72" s="210">
        <f t="shared" si="19"/>
        <v>0</v>
      </c>
      <c r="AJ72" s="207" t="str">
        <f t="shared" si="20"/>
        <v>OK</v>
      </c>
    </row>
    <row r="73" spans="1:36" ht="50.25" customHeight="1">
      <c r="A73" s="66">
        <v>62</v>
      </c>
      <c r="B73" s="99"/>
      <c r="C73" s="92"/>
      <c r="D73" s="38" t="s">
        <v>221</v>
      </c>
      <c r="E73" s="38" t="s">
        <v>222</v>
      </c>
      <c r="F73" s="26">
        <v>138000</v>
      </c>
      <c r="G73" s="425"/>
      <c r="H73" s="425"/>
      <c r="I73" s="617">
        <v>137200</v>
      </c>
      <c r="J73" s="647">
        <v>800</v>
      </c>
      <c r="K73" s="656">
        <v>-138000</v>
      </c>
      <c r="L73" s="415">
        <v>171000</v>
      </c>
      <c r="M73" s="425"/>
      <c r="N73" s="425"/>
      <c r="O73" s="425"/>
      <c r="P73" s="425"/>
      <c r="Q73" s="424">
        <f>L73-M73-N73-O73-P73</f>
        <v>171000</v>
      </c>
      <c r="R73" s="26">
        <v>-171000</v>
      </c>
      <c r="S73" s="47"/>
      <c r="T73" s="48"/>
      <c r="U73" s="48">
        <v>-137200</v>
      </c>
      <c r="V73" s="49">
        <v>-800</v>
      </c>
      <c r="W73" s="119"/>
      <c r="X73" s="149"/>
      <c r="Y73" s="129" t="s">
        <v>373</v>
      </c>
      <c r="Z73" s="66" t="s">
        <v>421</v>
      </c>
      <c r="AA73" s="128">
        <f t="shared" si="21"/>
        <v>0</v>
      </c>
      <c r="AC73" s="209"/>
      <c r="AD73" s="209"/>
      <c r="AE73" s="209"/>
      <c r="AF73" s="209"/>
      <c r="AG73" s="209"/>
      <c r="AH73" s="209"/>
      <c r="AI73" s="210">
        <f t="shared" si="19"/>
        <v>0</v>
      </c>
      <c r="AJ73" s="207" t="str">
        <f t="shared" si="20"/>
        <v>OK</v>
      </c>
    </row>
    <row r="74" spans="1:36" ht="63" customHeight="1">
      <c r="A74" s="66">
        <v>63</v>
      </c>
      <c r="B74" s="99"/>
      <c r="C74" s="90" t="s">
        <v>223</v>
      </c>
      <c r="D74" s="38" t="s">
        <v>224</v>
      </c>
      <c r="E74" s="38" t="s">
        <v>667</v>
      </c>
      <c r="F74" s="33">
        <v>11930000</v>
      </c>
      <c r="G74" s="428">
        <v>5948200</v>
      </c>
      <c r="H74" s="428">
        <v>192000</v>
      </c>
      <c r="I74" s="490">
        <v>5714700</v>
      </c>
      <c r="J74" s="666">
        <v>75100</v>
      </c>
      <c r="K74" s="653">
        <v>-4175500</v>
      </c>
      <c r="L74" s="415">
        <v>7148810</v>
      </c>
      <c r="M74" s="428">
        <v>3498350</v>
      </c>
      <c r="N74" s="428">
        <v>113870</v>
      </c>
      <c r="O74" s="428">
        <v>3535200</v>
      </c>
      <c r="P74" s="429">
        <v>1390</v>
      </c>
      <c r="Q74" s="424">
        <f>L74-M74-N74-O74-P74</f>
        <v>0</v>
      </c>
      <c r="R74" s="33">
        <v>-2430750</v>
      </c>
      <c r="S74" s="34">
        <v>-2081870</v>
      </c>
      <c r="T74" s="48">
        <v>-67200</v>
      </c>
      <c r="U74" s="48">
        <v>-2000000</v>
      </c>
      <c r="V74" s="49">
        <v>-26430</v>
      </c>
      <c r="W74" s="119"/>
      <c r="X74" s="149"/>
      <c r="Y74" s="129" t="s">
        <v>490</v>
      </c>
      <c r="Z74" s="66" t="s">
        <v>421</v>
      </c>
      <c r="AA74" s="128">
        <f t="shared" si="21"/>
        <v>0</v>
      </c>
      <c r="AC74" s="614">
        <v>-67200</v>
      </c>
      <c r="AD74" s="209"/>
      <c r="AE74" s="209"/>
      <c r="AF74" s="209"/>
      <c r="AG74" s="209"/>
      <c r="AH74" s="209"/>
      <c r="AI74" s="210">
        <f t="shared" si="19"/>
        <v>-67200</v>
      </c>
      <c r="AJ74" s="207" t="str">
        <f t="shared" si="20"/>
        <v>OK</v>
      </c>
    </row>
    <row r="75" spans="1:36" ht="50.25" customHeight="1">
      <c r="A75" s="66">
        <v>64</v>
      </c>
      <c r="B75" s="99"/>
      <c r="C75" s="92"/>
      <c r="D75" s="38" t="s">
        <v>225</v>
      </c>
      <c r="E75" s="38" t="s">
        <v>226</v>
      </c>
      <c r="F75" s="26">
        <v>1382000</v>
      </c>
      <c r="G75" s="428"/>
      <c r="H75" s="428"/>
      <c r="I75" s="490">
        <v>1381800</v>
      </c>
      <c r="J75" s="666">
        <v>200</v>
      </c>
      <c r="K75" s="656">
        <v>-1382000</v>
      </c>
      <c r="L75" s="415">
        <v>1500000</v>
      </c>
      <c r="M75" s="428"/>
      <c r="N75" s="428"/>
      <c r="O75" s="428"/>
      <c r="P75" s="429"/>
      <c r="Q75" s="424">
        <f>L75-M75-N75-O75-P75</f>
        <v>1500000</v>
      </c>
      <c r="R75" s="26">
        <v>-1500000</v>
      </c>
      <c r="S75" s="47"/>
      <c r="T75" s="48"/>
      <c r="U75" s="48">
        <v>-1381800</v>
      </c>
      <c r="V75" s="49">
        <v>-200</v>
      </c>
      <c r="W75" s="119"/>
      <c r="X75" s="149"/>
      <c r="Y75" s="129" t="s">
        <v>491</v>
      </c>
      <c r="Z75" s="66" t="s">
        <v>421</v>
      </c>
      <c r="AA75" s="128">
        <f t="shared" si="21"/>
        <v>0</v>
      </c>
      <c r="AC75" s="209"/>
      <c r="AD75" s="209"/>
      <c r="AE75" s="209"/>
      <c r="AF75" s="209"/>
      <c r="AG75" s="209"/>
      <c r="AH75" s="209"/>
      <c r="AI75" s="210">
        <f t="shared" si="19"/>
        <v>0</v>
      </c>
      <c r="AJ75" s="207" t="str">
        <f t="shared" si="20"/>
        <v>OK</v>
      </c>
    </row>
    <row r="76" spans="1:36" ht="50.25" customHeight="1">
      <c r="A76" s="66">
        <v>65</v>
      </c>
      <c r="B76" s="99"/>
      <c r="C76" s="90" t="s">
        <v>846</v>
      </c>
      <c r="D76" s="38" t="s">
        <v>846</v>
      </c>
      <c r="E76" s="38" t="s">
        <v>847</v>
      </c>
      <c r="F76" s="33">
        <v>2154</v>
      </c>
      <c r="G76" s="428"/>
      <c r="H76" s="428">
        <v>2154</v>
      </c>
      <c r="I76" s="490"/>
      <c r="J76" s="666"/>
      <c r="K76" s="653">
        <v>-2154</v>
      </c>
      <c r="L76" s="415">
        <v>2154</v>
      </c>
      <c r="M76" s="428"/>
      <c r="N76" s="428"/>
      <c r="O76" s="428"/>
      <c r="P76" s="429"/>
      <c r="Q76" s="424">
        <f>L76-M76-N76-O76-P76</f>
        <v>2154</v>
      </c>
      <c r="R76" s="33">
        <v>-2154</v>
      </c>
      <c r="S76" s="47"/>
      <c r="T76" s="48">
        <v>-2154</v>
      </c>
      <c r="U76" s="48"/>
      <c r="V76" s="49"/>
      <c r="W76" s="119"/>
      <c r="X76" s="149"/>
      <c r="Y76" s="129" t="s">
        <v>605</v>
      </c>
      <c r="Z76" s="66" t="s">
        <v>421</v>
      </c>
      <c r="AA76" s="128">
        <f t="shared" si="21"/>
        <v>0</v>
      </c>
      <c r="AC76" s="209"/>
      <c r="AD76" s="614">
        <v>-2154</v>
      </c>
      <c r="AE76" s="209"/>
      <c r="AF76" s="209"/>
      <c r="AG76" s="209"/>
      <c r="AH76" s="209"/>
      <c r="AI76" s="210">
        <f t="shared" si="19"/>
        <v>-2154</v>
      </c>
      <c r="AJ76" s="207" t="str">
        <f t="shared" si="20"/>
        <v>OK</v>
      </c>
    </row>
    <row r="77" spans="1:36" ht="50.25" customHeight="1">
      <c r="A77" s="66">
        <v>66</v>
      </c>
      <c r="B77" s="99"/>
      <c r="C77" s="92"/>
      <c r="D77" s="38" t="s">
        <v>604</v>
      </c>
      <c r="E77" s="38" t="s">
        <v>847</v>
      </c>
      <c r="F77" s="33">
        <v>350</v>
      </c>
      <c r="G77" s="428"/>
      <c r="H77" s="428"/>
      <c r="I77" s="490"/>
      <c r="J77" s="666">
        <v>350</v>
      </c>
      <c r="K77" s="653">
        <v>-350</v>
      </c>
      <c r="L77" s="415">
        <v>350</v>
      </c>
      <c r="M77" s="428"/>
      <c r="N77" s="428"/>
      <c r="O77" s="428"/>
      <c r="P77" s="429"/>
      <c r="Q77" s="424">
        <f>L77-M77-N77-O77-P77</f>
        <v>350</v>
      </c>
      <c r="R77" s="33">
        <v>-350</v>
      </c>
      <c r="S77" s="34"/>
      <c r="T77" s="48"/>
      <c r="U77" s="48"/>
      <c r="V77" s="49">
        <v>-350</v>
      </c>
      <c r="W77" s="119"/>
      <c r="X77" s="149"/>
      <c r="Y77" s="129" t="s">
        <v>605</v>
      </c>
      <c r="Z77" s="66" t="s">
        <v>421</v>
      </c>
      <c r="AA77" s="128">
        <f t="shared" si="21"/>
        <v>0</v>
      </c>
      <c r="AC77" s="209"/>
      <c r="AD77" s="48"/>
      <c r="AE77" s="209"/>
      <c r="AF77" s="209"/>
      <c r="AG77" s="209"/>
      <c r="AH77" s="209"/>
      <c r="AI77" s="210">
        <f t="shared" si="19"/>
        <v>0</v>
      </c>
      <c r="AJ77" s="207" t="str">
        <f t="shared" si="20"/>
        <v>OK</v>
      </c>
    </row>
    <row r="78" spans="1:36" ht="71.25" customHeight="1">
      <c r="A78" s="66">
        <v>67</v>
      </c>
      <c r="B78" s="99"/>
      <c r="C78" s="90" t="s">
        <v>227</v>
      </c>
      <c r="D78" s="38" t="s">
        <v>261</v>
      </c>
      <c r="E78" s="38" t="s">
        <v>668</v>
      </c>
      <c r="F78" s="33">
        <v>5030000</v>
      </c>
      <c r="G78" s="428">
        <v>1890962</v>
      </c>
      <c r="H78" s="428">
        <v>528000</v>
      </c>
      <c r="I78" s="490">
        <v>2511900</v>
      </c>
      <c r="J78" s="666">
        <v>99138</v>
      </c>
      <c r="K78" s="653">
        <v>-1760500</v>
      </c>
      <c r="L78" s="415">
        <v>5748033</v>
      </c>
      <c r="M78" s="428">
        <v>2121934</v>
      </c>
      <c r="N78" s="428">
        <v>528448</v>
      </c>
      <c r="O78" s="428">
        <v>3077900</v>
      </c>
      <c r="P78" s="429">
        <v>19751</v>
      </c>
      <c r="Q78" s="424">
        <v>0</v>
      </c>
      <c r="R78" s="33">
        <v>-2011000</v>
      </c>
      <c r="S78" s="34">
        <v>-661837</v>
      </c>
      <c r="T78" s="48">
        <v>-184800</v>
      </c>
      <c r="U78" s="48">
        <v>-879000</v>
      </c>
      <c r="V78" s="49">
        <v>-34863</v>
      </c>
      <c r="W78" s="119"/>
      <c r="X78" s="149"/>
      <c r="Y78" s="129" t="s">
        <v>524</v>
      </c>
      <c r="Z78" s="66" t="s">
        <v>421</v>
      </c>
      <c r="AA78" s="128">
        <f t="shared" si="21"/>
        <v>0</v>
      </c>
      <c r="AC78" s="614">
        <v>-184800</v>
      </c>
      <c r="AD78" s="209">
        <v>0</v>
      </c>
      <c r="AE78" s="209">
        <v>0</v>
      </c>
      <c r="AF78" s="209">
        <v>0</v>
      </c>
      <c r="AG78" s="209">
        <v>0</v>
      </c>
      <c r="AH78" s="209">
        <v>0</v>
      </c>
      <c r="AI78" s="210">
        <f t="shared" si="19"/>
        <v>-184800</v>
      </c>
      <c r="AJ78" s="207" t="str">
        <f t="shared" si="20"/>
        <v>OK</v>
      </c>
    </row>
    <row r="79" spans="1:36" ht="31.5" customHeight="1">
      <c r="A79" s="66">
        <v>68</v>
      </c>
      <c r="B79" s="99"/>
      <c r="C79" s="91"/>
      <c r="D79" s="38" t="s">
        <v>262</v>
      </c>
      <c r="E79" s="38" t="s">
        <v>263</v>
      </c>
      <c r="F79" s="33">
        <v>86800</v>
      </c>
      <c r="G79" s="428"/>
      <c r="H79" s="428">
        <v>13020</v>
      </c>
      <c r="I79" s="490">
        <v>73000</v>
      </c>
      <c r="J79" s="666">
        <v>780</v>
      </c>
      <c r="K79" s="653">
        <f>-F79*0.2</f>
        <v>-17360</v>
      </c>
      <c r="L79" s="415">
        <v>115200</v>
      </c>
      <c r="M79" s="428">
        <v>0</v>
      </c>
      <c r="N79" s="428">
        <v>17280</v>
      </c>
      <c r="O79" s="428">
        <v>97200</v>
      </c>
      <c r="P79" s="429">
        <v>720</v>
      </c>
      <c r="Q79" s="424">
        <v>0</v>
      </c>
      <c r="R79" s="33">
        <v>-23000</v>
      </c>
      <c r="S79" s="34"/>
      <c r="T79" s="48">
        <v>-2604</v>
      </c>
      <c r="U79" s="48">
        <v>-14600</v>
      </c>
      <c r="V79" s="49">
        <v>-156</v>
      </c>
      <c r="W79" s="119"/>
      <c r="X79" s="149"/>
      <c r="Y79" s="129" t="s">
        <v>707</v>
      </c>
      <c r="Z79" s="66" t="s">
        <v>421</v>
      </c>
      <c r="AA79" s="128">
        <f t="shared" si="21"/>
        <v>0</v>
      </c>
      <c r="AC79" s="614">
        <v>-2604</v>
      </c>
      <c r="AD79" s="209">
        <v>0</v>
      </c>
      <c r="AE79" s="209">
        <v>0</v>
      </c>
      <c r="AF79" s="209">
        <v>0</v>
      </c>
      <c r="AG79" s="209">
        <v>0</v>
      </c>
      <c r="AH79" s="209">
        <v>0</v>
      </c>
      <c r="AI79" s="210">
        <f t="shared" si="19"/>
        <v>-2604</v>
      </c>
      <c r="AJ79" s="207" t="str">
        <f t="shared" si="20"/>
        <v>OK</v>
      </c>
    </row>
    <row r="80" spans="1:36" ht="48" customHeight="1">
      <c r="A80" s="66">
        <v>69</v>
      </c>
      <c r="B80" s="99"/>
      <c r="C80" s="92"/>
      <c r="D80" s="38" t="s">
        <v>396</v>
      </c>
      <c r="E80" s="38" t="s">
        <v>264</v>
      </c>
      <c r="F80" s="26">
        <v>457965</v>
      </c>
      <c r="G80" s="425"/>
      <c r="H80" s="425"/>
      <c r="I80" s="617">
        <v>457100</v>
      </c>
      <c r="J80" s="647">
        <v>865</v>
      </c>
      <c r="K80" s="656">
        <f>-F80</f>
        <v>-457965</v>
      </c>
      <c r="L80" s="415">
        <v>565000</v>
      </c>
      <c r="M80" s="425"/>
      <c r="N80" s="425"/>
      <c r="O80" s="425"/>
      <c r="P80" s="425"/>
      <c r="Q80" s="424">
        <f aca="true" t="shared" si="22" ref="Q80:Q88">L80-M80-N80-O80-P80</f>
        <v>565000</v>
      </c>
      <c r="R80" s="26">
        <v>-565000</v>
      </c>
      <c r="S80" s="47"/>
      <c r="T80" s="48"/>
      <c r="U80" s="48">
        <v>-457100</v>
      </c>
      <c r="V80" s="49">
        <v>-865</v>
      </c>
      <c r="W80" s="119"/>
      <c r="X80" s="149"/>
      <c r="Y80" s="129" t="s">
        <v>373</v>
      </c>
      <c r="Z80" s="66" t="s">
        <v>421</v>
      </c>
      <c r="AA80" s="128">
        <f t="shared" si="21"/>
        <v>0</v>
      </c>
      <c r="AC80" s="209"/>
      <c r="AD80" s="209"/>
      <c r="AE80" s="209"/>
      <c r="AF80" s="209"/>
      <c r="AG80" s="209"/>
      <c r="AH80" s="209"/>
      <c r="AI80" s="210">
        <f t="shared" si="19"/>
        <v>0</v>
      </c>
      <c r="AJ80" s="207" t="str">
        <f t="shared" si="20"/>
        <v>OK</v>
      </c>
    </row>
    <row r="81" spans="1:36" ht="60" customHeight="1">
      <c r="A81" s="66">
        <v>70</v>
      </c>
      <c r="B81" s="99"/>
      <c r="C81" s="90" t="s">
        <v>265</v>
      </c>
      <c r="D81" s="51" t="s">
        <v>618</v>
      </c>
      <c r="E81" s="38" t="s">
        <v>848</v>
      </c>
      <c r="F81" s="26">
        <v>37370</v>
      </c>
      <c r="G81" s="425"/>
      <c r="H81" s="425"/>
      <c r="I81" s="617"/>
      <c r="J81" s="647"/>
      <c r="K81" s="656">
        <v>-37370</v>
      </c>
      <c r="L81" s="415">
        <v>37700</v>
      </c>
      <c r="M81" s="425"/>
      <c r="N81" s="425"/>
      <c r="O81" s="425"/>
      <c r="P81" s="425"/>
      <c r="Q81" s="424">
        <f t="shared" si="22"/>
        <v>37700</v>
      </c>
      <c r="R81" s="26">
        <v>-37700</v>
      </c>
      <c r="S81" s="47"/>
      <c r="T81" s="48"/>
      <c r="U81" s="48"/>
      <c r="V81" s="49">
        <v>-37370</v>
      </c>
      <c r="W81" s="119"/>
      <c r="X81" s="149"/>
      <c r="Y81" s="129" t="s">
        <v>257</v>
      </c>
      <c r="Z81" s="66" t="s">
        <v>421</v>
      </c>
      <c r="AA81" s="128">
        <f t="shared" si="21"/>
        <v>0</v>
      </c>
      <c r="AC81" s="209"/>
      <c r="AD81" s="209"/>
      <c r="AE81" s="209"/>
      <c r="AF81" s="209"/>
      <c r="AG81" s="209"/>
      <c r="AH81" s="209"/>
      <c r="AI81" s="210">
        <f t="shared" si="19"/>
        <v>0</v>
      </c>
      <c r="AJ81" s="207" t="str">
        <f t="shared" si="20"/>
        <v>OK</v>
      </c>
    </row>
    <row r="82" spans="1:36" ht="36.75" customHeight="1">
      <c r="A82" s="66">
        <v>71</v>
      </c>
      <c r="B82" s="99"/>
      <c r="C82" s="91"/>
      <c r="D82" s="38" t="s">
        <v>268</v>
      </c>
      <c r="E82" s="38"/>
      <c r="F82" s="33">
        <v>171595</v>
      </c>
      <c r="G82" s="428"/>
      <c r="H82" s="428"/>
      <c r="I82" s="490"/>
      <c r="J82" s="666"/>
      <c r="K82" s="653">
        <v>-171595</v>
      </c>
      <c r="L82" s="415">
        <v>185367</v>
      </c>
      <c r="M82" s="428">
        <v>0</v>
      </c>
      <c r="N82" s="428">
        <v>5000</v>
      </c>
      <c r="O82" s="428">
        <v>0</v>
      </c>
      <c r="P82" s="429">
        <v>180367</v>
      </c>
      <c r="Q82" s="424">
        <f t="shared" si="22"/>
        <v>0</v>
      </c>
      <c r="R82" s="33">
        <v>-185367</v>
      </c>
      <c r="S82" s="47"/>
      <c r="T82" s="48">
        <v>-4828</v>
      </c>
      <c r="U82" s="48"/>
      <c r="V82" s="49">
        <v>-166767</v>
      </c>
      <c r="W82" s="119"/>
      <c r="X82" s="149"/>
      <c r="Y82" s="129" t="s">
        <v>799</v>
      </c>
      <c r="Z82" s="66" t="s">
        <v>421</v>
      </c>
      <c r="AA82" s="128">
        <f t="shared" si="21"/>
        <v>0</v>
      </c>
      <c r="AC82" s="209"/>
      <c r="AD82" s="614">
        <v>-4828</v>
      </c>
      <c r="AE82" s="209"/>
      <c r="AF82" s="209"/>
      <c r="AG82" s="209"/>
      <c r="AH82" s="209"/>
      <c r="AI82" s="210">
        <f t="shared" si="19"/>
        <v>-4828</v>
      </c>
      <c r="AJ82" s="207" t="str">
        <f t="shared" si="20"/>
        <v>OK</v>
      </c>
    </row>
    <row r="83" spans="1:36" ht="31.5" customHeight="1">
      <c r="A83" s="66">
        <v>72</v>
      </c>
      <c r="B83" s="99"/>
      <c r="C83" s="91"/>
      <c r="D83" s="56" t="s">
        <v>531</v>
      </c>
      <c r="E83" s="38"/>
      <c r="F83" s="26">
        <v>232000</v>
      </c>
      <c r="G83" s="425"/>
      <c r="H83" s="425"/>
      <c r="I83" s="617"/>
      <c r="J83" s="647"/>
      <c r="K83" s="656">
        <v>-232000</v>
      </c>
      <c r="L83" s="415">
        <v>206500</v>
      </c>
      <c r="M83" s="425"/>
      <c r="N83" s="425"/>
      <c r="O83" s="425"/>
      <c r="P83" s="425"/>
      <c r="Q83" s="424">
        <f t="shared" si="22"/>
        <v>206500</v>
      </c>
      <c r="R83" s="26">
        <v>-206500</v>
      </c>
      <c r="S83" s="47"/>
      <c r="T83" s="48"/>
      <c r="U83" s="48">
        <v>-229800</v>
      </c>
      <c r="V83" s="49">
        <v>-2200</v>
      </c>
      <c r="W83" s="119"/>
      <c r="X83" s="149"/>
      <c r="Y83" s="129" t="s">
        <v>850</v>
      </c>
      <c r="Z83" s="66" t="s">
        <v>421</v>
      </c>
      <c r="AA83" s="128">
        <f t="shared" si="21"/>
        <v>0</v>
      </c>
      <c r="AC83" s="209"/>
      <c r="AD83" s="209"/>
      <c r="AE83" s="209"/>
      <c r="AF83" s="209"/>
      <c r="AG83" s="209"/>
      <c r="AH83" s="209"/>
      <c r="AI83" s="210">
        <f t="shared" si="19"/>
        <v>0</v>
      </c>
      <c r="AJ83" s="207" t="str">
        <f t="shared" si="20"/>
        <v>OK</v>
      </c>
    </row>
    <row r="84" spans="1:36" ht="57.75" customHeight="1">
      <c r="A84" s="66">
        <v>73</v>
      </c>
      <c r="B84" s="99"/>
      <c r="C84" s="91"/>
      <c r="D84" s="130" t="s">
        <v>269</v>
      </c>
      <c r="E84" s="38" t="s">
        <v>713</v>
      </c>
      <c r="F84" s="26">
        <v>83000</v>
      </c>
      <c r="G84" s="425"/>
      <c r="H84" s="425"/>
      <c r="I84" s="617"/>
      <c r="J84" s="647"/>
      <c r="K84" s="656">
        <v>-83000</v>
      </c>
      <c r="L84" s="415">
        <v>82000</v>
      </c>
      <c r="M84" s="425"/>
      <c r="N84" s="425"/>
      <c r="O84" s="425"/>
      <c r="P84" s="425"/>
      <c r="Q84" s="424">
        <f t="shared" si="22"/>
        <v>82000</v>
      </c>
      <c r="R84" s="26">
        <v>-82000</v>
      </c>
      <c r="S84" s="47"/>
      <c r="T84" s="48"/>
      <c r="U84" s="48">
        <v>-82700</v>
      </c>
      <c r="V84" s="49">
        <v>-300</v>
      </c>
      <c r="W84" s="119"/>
      <c r="X84" s="149"/>
      <c r="Y84" s="129"/>
      <c r="Z84" s="66" t="s">
        <v>421</v>
      </c>
      <c r="AA84" s="128">
        <f t="shared" si="21"/>
        <v>0</v>
      </c>
      <c r="AC84" s="209"/>
      <c r="AD84" s="209"/>
      <c r="AE84" s="209"/>
      <c r="AF84" s="209"/>
      <c r="AG84" s="209"/>
      <c r="AH84" s="209"/>
      <c r="AI84" s="210">
        <f t="shared" si="19"/>
        <v>0</v>
      </c>
      <c r="AJ84" s="207" t="str">
        <f t="shared" si="20"/>
        <v>OK</v>
      </c>
    </row>
    <row r="85" spans="1:36" ht="39.75" customHeight="1">
      <c r="A85" s="66">
        <v>74</v>
      </c>
      <c r="B85" s="99"/>
      <c r="C85" s="91"/>
      <c r="D85" s="38" t="s">
        <v>270</v>
      </c>
      <c r="E85" s="38" t="s">
        <v>270</v>
      </c>
      <c r="F85" s="26">
        <v>265918</v>
      </c>
      <c r="G85" s="425"/>
      <c r="H85" s="425"/>
      <c r="I85" s="617"/>
      <c r="J85" s="647"/>
      <c r="K85" s="656">
        <v>-265918</v>
      </c>
      <c r="L85" s="415">
        <v>261631</v>
      </c>
      <c r="M85" s="425"/>
      <c r="N85" s="425"/>
      <c r="O85" s="425"/>
      <c r="P85" s="425"/>
      <c r="Q85" s="424">
        <f t="shared" si="22"/>
        <v>261631</v>
      </c>
      <c r="R85" s="26">
        <v>-261631</v>
      </c>
      <c r="S85" s="47"/>
      <c r="T85" s="48"/>
      <c r="U85" s="48"/>
      <c r="V85" s="49">
        <v>-265918</v>
      </c>
      <c r="W85" s="119"/>
      <c r="X85" s="149"/>
      <c r="Y85" s="129"/>
      <c r="Z85" s="66" t="s">
        <v>421</v>
      </c>
      <c r="AA85" s="128">
        <f t="shared" si="21"/>
        <v>0</v>
      </c>
      <c r="AC85" s="209"/>
      <c r="AD85" s="209"/>
      <c r="AE85" s="209"/>
      <c r="AF85" s="209"/>
      <c r="AG85" s="209"/>
      <c r="AH85" s="209"/>
      <c r="AI85" s="210">
        <f t="shared" si="19"/>
        <v>0</v>
      </c>
      <c r="AJ85" s="207" t="str">
        <f t="shared" si="20"/>
        <v>OK</v>
      </c>
    </row>
    <row r="86" spans="1:36" ht="31.5" customHeight="1">
      <c r="A86" s="66">
        <v>75</v>
      </c>
      <c r="B86" s="99"/>
      <c r="C86" s="91"/>
      <c r="D86" s="51" t="s">
        <v>699</v>
      </c>
      <c r="E86" s="38" t="s">
        <v>700</v>
      </c>
      <c r="F86" s="33">
        <v>139000</v>
      </c>
      <c r="G86" s="428"/>
      <c r="H86" s="428"/>
      <c r="I86" s="490"/>
      <c r="J86" s="666"/>
      <c r="K86" s="653">
        <v>-139000</v>
      </c>
      <c r="L86" s="415">
        <v>139000</v>
      </c>
      <c r="M86" s="428">
        <v>0</v>
      </c>
      <c r="N86" s="428">
        <v>139000</v>
      </c>
      <c r="O86" s="428">
        <v>0</v>
      </c>
      <c r="P86" s="429"/>
      <c r="Q86" s="424">
        <f t="shared" si="22"/>
        <v>0</v>
      </c>
      <c r="R86" s="33">
        <v>-139000</v>
      </c>
      <c r="S86" s="47"/>
      <c r="T86" s="48">
        <v>-139000</v>
      </c>
      <c r="U86" s="48"/>
      <c r="V86" s="49"/>
      <c r="W86" s="119"/>
      <c r="X86" s="149"/>
      <c r="Y86" s="129" t="s">
        <v>664</v>
      </c>
      <c r="Z86" s="66" t="s">
        <v>421</v>
      </c>
      <c r="AA86" s="128">
        <f t="shared" si="21"/>
        <v>0</v>
      </c>
      <c r="AC86" s="209">
        <v>0</v>
      </c>
      <c r="AD86" s="209">
        <v>0</v>
      </c>
      <c r="AE86" s="209">
        <v>0</v>
      </c>
      <c r="AF86" s="209">
        <v>0</v>
      </c>
      <c r="AG86" s="614">
        <v>-139000</v>
      </c>
      <c r="AH86" s="209">
        <v>0</v>
      </c>
      <c r="AI86" s="210">
        <f t="shared" si="19"/>
        <v>-139000</v>
      </c>
      <c r="AJ86" s="207" t="str">
        <f t="shared" si="20"/>
        <v>OK</v>
      </c>
    </row>
    <row r="87" spans="1:36" ht="60.75" customHeight="1">
      <c r="A87" s="66">
        <v>76</v>
      </c>
      <c r="B87" s="99"/>
      <c r="C87" s="91"/>
      <c r="D87" s="50" t="s">
        <v>851</v>
      </c>
      <c r="E87" s="38" t="s">
        <v>63</v>
      </c>
      <c r="F87" s="33">
        <v>243000</v>
      </c>
      <c r="G87" s="430"/>
      <c r="H87" s="430"/>
      <c r="I87" s="624"/>
      <c r="J87" s="667"/>
      <c r="K87" s="653">
        <v>-243000</v>
      </c>
      <c r="L87" s="415">
        <v>274445</v>
      </c>
      <c r="M87" s="430"/>
      <c r="N87" s="430"/>
      <c r="O87" s="430"/>
      <c r="P87" s="431"/>
      <c r="Q87" s="424">
        <f t="shared" si="22"/>
        <v>274445</v>
      </c>
      <c r="R87" s="33">
        <v>-274445</v>
      </c>
      <c r="S87" s="47"/>
      <c r="T87" s="48"/>
      <c r="U87" s="48">
        <v>-242700</v>
      </c>
      <c r="V87" s="49">
        <v>-300</v>
      </c>
      <c r="W87" s="119"/>
      <c r="X87" s="149"/>
      <c r="Y87" s="129" t="s">
        <v>852</v>
      </c>
      <c r="Z87" s="66" t="s">
        <v>421</v>
      </c>
      <c r="AA87" s="128">
        <f t="shared" si="21"/>
        <v>0</v>
      </c>
      <c r="AC87" s="209"/>
      <c r="AD87" s="209"/>
      <c r="AE87" s="209"/>
      <c r="AF87" s="209"/>
      <c r="AG87" s="209"/>
      <c r="AH87" s="209"/>
      <c r="AI87" s="210">
        <f t="shared" si="19"/>
        <v>0</v>
      </c>
      <c r="AJ87" s="207" t="str">
        <f t="shared" si="20"/>
        <v>OK</v>
      </c>
    </row>
    <row r="88" spans="1:36" ht="60.75" customHeight="1">
      <c r="A88" s="66">
        <v>77</v>
      </c>
      <c r="B88" s="99"/>
      <c r="C88" s="93" t="s">
        <v>271</v>
      </c>
      <c r="D88" s="38" t="s">
        <v>40</v>
      </c>
      <c r="E88" s="38" t="s">
        <v>703</v>
      </c>
      <c r="F88" s="26">
        <v>1030565</v>
      </c>
      <c r="G88" s="425"/>
      <c r="H88" s="425"/>
      <c r="I88" s="617">
        <v>1029500</v>
      </c>
      <c r="J88" s="647">
        <v>1065</v>
      </c>
      <c r="K88" s="656">
        <v>-278000</v>
      </c>
      <c r="L88" s="415">
        <v>1086000</v>
      </c>
      <c r="M88" s="425"/>
      <c r="N88" s="425"/>
      <c r="O88" s="425"/>
      <c r="P88" s="425"/>
      <c r="Q88" s="424">
        <f t="shared" si="22"/>
        <v>1086000</v>
      </c>
      <c r="R88" s="26">
        <v>-243000</v>
      </c>
      <c r="S88" s="47"/>
      <c r="T88" s="48"/>
      <c r="U88" s="48">
        <v>-277900</v>
      </c>
      <c r="V88" s="49">
        <v>-100</v>
      </c>
      <c r="W88" s="119"/>
      <c r="X88" s="149"/>
      <c r="Y88" s="129" t="s">
        <v>495</v>
      </c>
      <c r="Z88" s="66" t="s">
        <v>421</v>
      </c>
      <c r="AA88" s="128">
        <f t="shared" si="21"/>
        <v>0</v>
      </c>
      <c r="AC88" s="209"/>
      <c r="AD88" s="209"/>
      <c r="AE88" s="209"/>
      <c r="AF88" s="209"/>
      <c r="AG88" s="209"/>
      <c r="AH88" s="209"/>
      <c r="AI88" s="210">
        <f t="shared" si="19"/>
        <v>0</v>
      </c>
      <c r="AJ88" s="207" t="str">
        <f t="shared" si="20"/>
        <v>OK</v>
      </c>
    </row>
    <row r="89" spans="1:36" ht="68.25" customHeight="1">
      <c r="A89" s="66">
        <v>78</v>
      </c>
      <c r="B89" s="99"/>
      <c r="C89" s="90" t="s">
        <v>669</v>
      </c>
      <c r="D89" s="38" t="s">
        <v>674</v>
      </c>
      <c r="E89" s="38"/>
      <c r="F89" s="33">
        <v>11338637</v>
      </c>
      <c r="G89" s="428">
        <v>5710550</v>
      </c>
      <c r="H89" s="428">
        <v>2280186</v>
      </c>
      <c r="I89" s="490">
        <v>3346300</v>
      </c>
      <c r="J89" s="666">
        <v>1601</v>
      </c>
      <c r="K89" s="653">
        <v>-3968523</v>
      </c>
      <c r="L89" s="415">
        <v>5482755</v>
      </c>
      <c r="M89" s="428">
        <v>2733316</v>
      </c>
      <c r="N89" s="428">
        <v>927228</v>
      </c>
      <c r="O89" s="428">
        <v>1821900</v>
      </c>
      <c r="P89" s="429">
        <v>311</v>
      </c>
      <c r="Q89" s="424">
        <v>0</v>
      </c>
      <c r="R89" s="33">
        <v>-1919000</v>
      </c>
      <c r="S89" s="34">
        <v>-1998693</v>
      </c>
      <c r="T89" s="48">
        <v>-798065</v>
      </c>
      <c r="U89" s="48">
        <v>-1171200</v>
      </c>
      <c r="V89" s="49">
        <v>-565</v>
      </c>
      <c r="W89" s="119"/>
      <c r="X89" s="149"/>
      <c r="Y89" s="129" t="s">
        <v>524</v>
      </c>
      <c r="Z89" s="66" t="s">
        <v>421</v>
      </c>
      <c r="AA89" s="128">
        <f t="shared" si="21"/>
        <v>0</v>
      </c>
      <c r="AC89" s="614">
        <v>-798065</v>
      </c>
      <c r="AD89" s="209">
        <v>0</v>
      </c>
      <c r="AE89" s="209">
        <v>0</v>
      </c>
      <c r="AF89" s="209">
        <v>0</v>
      </c>
      <c r="AG89" s="209">
        <v>0</v>
      </c>
      <c r="AH89" s="209">
        <v>0</v>
      </c>
      <c r="AI89" s="210">
        <f t="shared" si="19"/>
        <v>-798065</v>
      </c>
      <c r="AJ89" s="207" t="str">
        <f t="shared" si="20"/>
        <v>OK</v>
      </c>
    </row>
    <row r="90" spans="1:36" ht="31.5" customHeight="1">
      <c r="A90" s="66">
        <v>79</v>
      </c>
      <c r="B90" s="99"/>
      <c r="C90" s="92"/>
      <c r="D90" s="38" t="s">
        <v>412</v>
      </c>
      <c r="E90" s="38" t="s">
        <v>413</v>
      </c>
      <c r="F90" s="33">
        <v>491000</v>
      </c>
      <c r="G90" s="428"/>
      <c r="H90" s="428">
        <v>245500</v>
      </c>
      <c r="I90" s="490">
        <v>244000</v>
      </c>
      <c r="J90" s="666">
        <v>1500</v>
      </c>
      <c r="K90" s="653">
        <v>-171850</v>
      </c>
      <c r="L90" s="415">
        <v>636000</v>
      </c>
      <c r="M90" s="428">
        <v>0</v>
      </c>
      <c r="N90" s="428">
        <v>318000</v>
      </c>
      <c r="O90" s="428">
        <v>317000</v>
      </c>
      <c r="P90" s="429">
        <v>1000</v>
      </c>
      <c r="Q90" s="424">
        <v>0</v>
      </c>
      <c r="R90" s="33">
        <v>-222600</v>
      </c>
      <c r="S90" s="34"/>
      <c r="T90" s="48">
        <v>-85925</v>
      </c>
      <c r="U90" s="48">
        <v>-85400</v>
      </c>
      <c r="V90" s="49">
        <v>-525</v>
      </c>
      <c r="W90" s="119"/>
      <c r="X90" s="149"/>
      <c r="Y90" s="129" t="s">
        <v>524</v>
      </c>
      <c r="Z90" s="66" t="s">
        <v>421</v>
      </c>
      <c r="AA90" s="128">
        <f t="shared" si="21"/>
        <v>0</v>
      </c>
      <c r="AC90" s="614">
        <v>-85925</v>
      </c>
      <c r="AD90" s="209">
        <v>0</v>
      </c>
      <c r="AE90" s="209">
        <v>0</v>
      </c>
      <c r="AF90" s="209">
        <v>0</v>
      </c>
      <c r="AG90" s="209">
        <v>0</v>
      </c>
      <c r="AH90" s="209">
        <v>0</v>
      </c>
      <c r="AI90" s="210">
        <f t="shared" si="19"/>
        <v>-85925</v>
      </c>
      <c r="AJ90" s="207" t="str">
        <f t="shared" si="20"/>
        <v>OK</v>
      </c>
    </row>
    <row r="91" spans="1:36" ht="66" customHeight="1">
      <c r="A91" s="66">
        <v>80</v>
      </c>
      <c r="B91" s="99"/>
      <c r="C91" s="90" t="s">
        <v>274</v>
      </c>
      <c r="D91" s="38" t="s">
        <v>275</v>
      </c>
      <c r="E91" s="38" t="s">
        <v>56</v>
      </c>
      <c r="F91" s="33">
        <v>1787000</v>
      </c>
      <c r="G91" s="428">
        <v>426000</v>
      </c>
      <c r="H91" s="428">
        <v>7000</v>
      </c>
      <c r="I91" s="490">
        <v>1352000</v>
      </c>
      <c r="J91" s="666">
        <v>2000</v>
      </c>
      <c r="K91" s="653">
        <v>-625450</v>
      </c>
      <c r="L91" s="415">
        <v>1270420</v>
      </c>
      <c r="M91" s="428">
        <v>442110</v>
      </c>
      <c r="N91" s="428">
        <v>2100</v>
      </c>
      <c r="O91" s="428">
        <v>825900</v>
      </c>
      <c r="P91" s="429">
        <v>310</v>
      </c>
      <c r="Q91" s="424">
        <v>0</v>
      </c>
      <c r="R91" s="33">
        <v>-444000</v>
      </c>
      <c r="S91" s="34">
        <v>-149100</v>
      </c>
      <c r="T91" s="48">
        <v>-2450</v>
      </c>
      <c r="U91" s="48">
        <v>-473200</v>
      </c>
      <c r="V91" s="49">
        <v>-700</v>
      </c>
      <c r="W91" s="119"/>
      <c r="X91" s="149"/>
      <c r="Y91" s="129" t="s">
        <v>532</v>
      </c>
      <c r="Z91" s="66" t="s">
        <v>421</v>
      </c>
      <c r="AA91" s="128">
        <f t="shared" si="21"/>
        <v>0</v>
      </c>
      <c r="AC91" s="614">
        <v>-2450</v>
      </c>
      <c r="AD91" s="48"/>
      <c r="AE91" s="209"/>
      <c r="AF91" s="209"/>
      <c r="AG91" s="209"/>
      <c r="AH91" s="209"/>
      <c r="AI91" s="210">
        <f t="shared" si="19"/>
        <v>-2450</v>
      </c>
      <c r="AJ91" s="207" t="str">
        <f t="shared" si="20"/>
        <v>OK</v>
      </c>
    </row>
    <row r="92" spans="1:36" ht="41.25" customHeight="1">
      <c r="A92" s="66">
        <v>81</v>
      </c>
      <c r="B92" s="99"/>
      <c r="C92" s="91"/>
      <c r="D92" s="38" t="s">
        <v>276</v>
      </c>
      <c r="E92" s="38" t="s">
        <v>277</v>
      </c>
      <c r="F92" s="33">
        <v>745500</v>
      </c>
      <c r="G92" s="428"/>
      <c r="H92" s="428">
        <v>1500</v>
      </c>
      <c r="I92" s="490">
        <v>743000</v>
      </c>
      <c r="J92" s="666">
        <v>1000</v>
      </c>
      <c r="K92" s="653">
        <f>-F92*0.2</f>
        <v>-149100</v>
      </c>
      <c r="L92" s="415">
        <v>747154</v>
      </c>
      <c r="M92" s="428">
        <v>0</v>
      </c>
      <c r="N92" s="428">
        <v>1500</v>
      </c>
      <c r="O92" s="428">
        <v>745000</v>
      </c>
      <c r="P92" s="429">
        <v>654</v>
      </c>
      <c r="Q92" s="424">
        <f aca="true" t="shared" si="23" ref="Q92:Q105">L92-M92-N92-O92-P92</f>
        <v>0</v>
      </c>
      <c r="R92" s="33">
        <v>-149000</v>
      </c>
      <c r="S92" s="34">
        <f>G92*0.2</f>
        <v>0</v>
      </c>
      <c r="T92" s="48">
        <v>-300</v>
      </c>
      <c r="U92" s="48">
        <v>-148600</v>
      </c>
      <c r="V92" s="49">
        <v>-200</v>
      </c>
      <c r="W92" s="119"/>
      <c r="X92" s="149"/>
      <c r="Y92" s="129" t="s">
        <v>394</v>
      </c>
      <c r="Z92" s="66" t="s">
        <v>421</v>
      </c>
      <c r="AA92" s="128">
        <f t="shared" si="21"/>
        <v>0</v>
      </c>
      <c r="AC92" s="209">
        <v>0</v>
      </c>
      <c r="AD92" s="209">
        <v>0</v>
      </c>
      <c r="AE92" s="209">
        <v>0</v>
      </c>
      <c r="AF92" s="614">
        <v>-300</v>
      </c>
      <c r="AG92" s="209">
        <v>0</v>
      </c>
      <c r="AH92" s="209">
        <v>0</v>
      </c>
      <c r="AI92" s="210">
        <f t="shared" si="19"/>
        <v>-300</v>
      </c>
      <c r="AJ92" s="207" t="str">
        <f t="shared" si="20"/>
        <v>OK</v>
      </c>
    </row>
    <row r="93" spans="1:36" ht="53.25" customHeight="1">
      <c r="A93" s="66">
        <v>82</v>
      </c>
      <c r="B93" s="99"/>
      <c r="C93" s="91"/>
      <c r="D93" s="38" t="s">
        <v>278</v>
      </c>
      <c r="E93" s="38" t="s">
        <v>279</v>
      </c>
      <c r="F93" s="26">
        <v>272000</v>
      </c>
      <c r="G93" s="428"/>
      <c r="H93" s="428">
        <v>132000</v>
      </c>
      <c r="I93" s="490">
        <v>139000</v>
      </c>
      <c r="J93" s="666">
        <v>1000</v>
      </c>
      <c r="K93" s="656">
        <f>-F93</f>
        <v>-272000</v>
      </c>
      <c r="L93" s="415">
        <v>601900</v>
      </c>
      <c r="M93" s="428">
        <v>0</v>
      </c>
      <c r="N93" s="428">
        <v>186533</v>
      </c>
      <c r="O93" s="428">
        <v>409900</v>
      </c>
      <c r="P93" s="429">
        <v>5467</v>
      </c>
      <c r="Q93" s="424">
        <f t="shared" si="23"/>
        <v>0</v>
      </c>
      <c r="R93" s="26">
        <v>-601900</v>
      </c>
      <c r="S93" s="47"/>
      <c r="T93" s="48">
        <v>-132000</v>
      </c>
      <c r="U93" s="48">
        <v>-139000</v>
      </c>
      <c r="V93" s="49">
        <v>-1000</v>
      </c>
      <c r="W93" s="119"/>
      <c r="X93" s="149"/>
      <c r="Y93" s="129" t="s">
        <v>429</v>
      </c>
      <c r="Z93" s="66" t="s">
        <v>421</v>
      </c>
      <c r="AA93" s="128">
        <f t="shared" si="21"/>
        <v>0</v>
      </c>
      <c r="AC93" s="614">
        <v>-132000</v>
      </c>
      <c r="AD93" s="209"/>
      <c r="AE93" s="209"/>
      <c r="AF93" s="209"/>
      <c r="AG93" s="209"/>
      <c r="AH93" s="209"/>
      <c r="AI93" s="210">
        <f t="shared" si="19"/>
        <v>-132000</v>
      </c>
      <c r="AJ93" s="207" t="str">
        <f t="shared" si="20"/>
        <v>OK</v>
      </c>
    </row>
    <row r="94" spans="1:36" ht="54" customHeight="1">
      <c r="A94" s="66">
        <v>83</v>
      </c>
      <c r="B94" s="99"/>
      <c r="C94" s="91"/>
      <c r="D94" s="38" t="s">
        <v>281</v>
      </c>
      <c r="E94" s="38" t="s">
        <v>620</v>
      </c>
      <c r="F94" s="33">
        <v>418404</v>
      </c>
      <c r="G94" s="428"/>
      <c r="H94" s="428"/>
      <c r="I94" s="490">
        <v>163100</v>
      </c>
      <c r="J94" s="666">
        <v>255304</v>
      </c>
      <c r="K94" s="653">
        <v>-209202</v>
      </c>
      <c r="L94" s="415">
        <v>415628</v>
      </c>
      <c r="M94" s="428">
        <v>0</v>
      </c>
      <c r="N94" s="428">
        <v>0</v>
      </c>
      <c r="O94" s="428">
        <v>163000</v>
      </c>
      <c r="P94" s="429">
        <v>252628</v>
      </c>
      <c r="Q94" s="424">
        <f t="shared" si="23"/>
        <v>0</v>
      </c>
      <c r="R94" s="33">
        <v>-208000</v>
      </c>
      <c r="S94" s="34"/>
      <c r="T94" s="48"/>
      <c r="U94" s="48">
        <v>-81600</v>
      </c>
      <c r="V94" s="49">
        <v>-127602</v>
      </c>
      <c r="W94" s="119"/>
      <c r="X94" s="149"/>
      <c r="Y94" s="129" t="s">
        <v>533</v>
      </c>
      <c r="Z94" s="66" t="s">
        <v>421</v>
      </c>
      <c r="AA94" s="128">
        <f t="shared" si="21"/>
        <v>0</v>
      </c>
      <c r="AC94" s="209"/>
      <c r="AD94" s="209"/>
      <c r="AE94" s="209"/>
      <c r="AF94" s="209"/>
      <c r="AG94" s="209"/>
      <c r="AH94" s="209"/>
      <c r="AI94" s="210">
        <f t="shared" si="19"/>
        <v>0</v>
      </c>
      <c r="AJ94" s="207" t="str">
        <f t="shared" si="20"/>
        <v>OK</v>
      </c>
    </row>
    <row r="95" spans="1:36" ht="54" customHeight="1">
      <c r="A95" s="66">
        <v>84</v>
      </c>
      <c r="B95" s="99"/>
      <c r="C95" s="90" t="s">
        <v>422</v>
      </c>
      <c r="D95" s="38" t="s">
        <v>534</v>
      </c>
      <c r="E95" s="38"/>
      <c r="F95" s="26">
        <v>13479</v>
      </c>
      <c r="G95" s="425">
        <v>4837</v>
      </c>
      <c r="H95" s="425"/>
      <c r="I95" s="617"/>
      <c r="J95" s="647">
        <v>8642</v>
      </c>
      <c r="K95" s="656">
        <v>-6740</v>
      </c>
      <c r="L95" s="415">
        <v>10254</v>
      </c>
      <c r="M95" s="425"/>
      <c r="N95" s="425"/>
      <c r="O95" s="425"/>
      <c r="P95" s="425"/>
      <c r="Q95" s="424">
        <f t="shared" si="23"/>
        <v>10254</v>
      </c>
      <c r="R95" s="26">
        <v>-5000</v>
      </c>
      <c r="S95" s="34">
        <v>-2419</v>
      </c>
      <c r="T95" s="48"/>
      <c r="U95" s="48"/>
      <c r="V95" s="49">
        <v>-4321</v>
      </c>
      <c r="W95" s="119"/>
      <c r="X95" s="149"/>
      <c r="Y95" s="129" t="s">
        <v>533</v>
      </c>
      <c r="Z95" s="66" t="s">
        <v>421</v>
      </c>
      <c r="AA95" s="128">
        <f t="shared" si="21"/>
        <v>0</v>
      </c>
      <c r="AC95" s="209"/>
      <c r="AD95" s="209"/>
      <c r="AE95" s="209"/>
      <c r="AF95" s="209"/>
      <c r="AG95" s="209"/>
      <c r="AH95" s="209"/>
      <c r="AI95" s="210">
        <f t="shared" si="19"/>
        <v>0</v>
      </c>
      <c r="AJ95" s="207" t="str">
        <f t="shared" si="20"/>
        <v>OK</v>
      </c>
    </row>
    <row r="96" spans="1:36" ht="60.75" customHeight="1">
      <c r="A96" s="66">
        <v>85</v>
      </c>
      <c r="B96" s="99"/>
      <c r="D96" s="38" t="s">
        <v>282</v>
      </c>
      <c r="E96" s="38" t="s">
        <v>801</v>
      </c>
      <c r="F96" s="33">
        <v>1120000</v>
      </c>
      <c r="G96" s="428">
        <v>616000</v>
      </c>
      <c r="H96" s="428">
        <v>252000</v>
      </c>
      <c r="I96" s="490">
        <v>251400</v>
      </c>
      <c r="J96" s="666">
        <v>600</v>
      </c>
      <c r="K96" s="653">
        <v>-392000</v>
      </c>
      <c r="L96" s="415">
        <v>1261800</v>
      </c>
      <c r="M96" s="428">
        <v>692060</v>
      </c>
      <c r="N96" s="428">
        <v>284870</v>
      </c>
      <c r="O96" s="428">
        <v>275000</v>
      </c>
      <c r="P96" s="429">
        <v>9870</v>
      </c>
      <c r="Q96" s="424">
        <f t="shared" si="23"/>
        <v>0</v>
      </c>
      <c r="R96" s="33">
        <v>-442000</v>
      </c>
      <c r="S96" s="34">
        <v>-215600</v>
      </c>
      <c r="T96" s="48">
        <v>-88200</v>
      </c>
      <c r="U96" s="48">
        <v>-88000</v>
      </c>
      <c r="V96" s="49">
        <v>-200</v>
      </c>
      <c r="W96" s="119"/>
      <c r="X96" s="149"/>
      <c r="Y96" s="129" t="s">
        <v>532</v>
      </c>
      <c r="Z96" s="66" t="s">
        <v>421</v>
      </c>
      <c r="AA96" s="128">
        <f t="shared" si="21"/>
        <v>0</v>
      </c>
      <c r="AC96" s="614">
        <v>-88200</v>
      </c>
      <c r="AD96" s="209">
        <v>0</v>
      </c>
      <c r="AE96" s="209">
        <v>0</v>
      </c>
      <c r="AF96" s="209">
        <v>0</v>
      </c>
      <c r="AG96" s="209">
        <v>0</v>
      </c>
      <c r="AH96" s="209">
        <v>0</v>
      </c>
      <c r="AI96" s="210">
        <f t="shared" si="19"/>
        <v>-88200</v>
      </c>
      <c r="AJ96" s="207" t="str">
        <f t="shared" si="20"/>
        <v>OK</v>
      </c>
    </row>
    <row r="97" spans="1:36" ht="55.5" customHeight="1">
      <c r="A97" s="66">
        <v>86</v>
      </c>
      <c r="B97" s="99"/>
      <c r="C97" s="91"/>
      <c r="D97" s="38" t="s">
        <v>283</v>
      </c>
      <c r="E97" s="38" t="s">
        <v>670</v>
      </c>
      <c r="F97" s="33">
        <v>1011984</v>
      </c>
      <c r="G97" s="428">
        <v>505992</v>
      </c>
      <c r="H97" s="428"/>
      <c r="I97" s="490">
        <v>505200</v>
      </c>
      <c r="J97" s="666">
        <v>792</v>
      </c>
      <c r="K97" s="653">
        <v>-354194</v>
      </c>
      <c r="L97" s="415">
        <v>990562</v>
      </c>
      <c r="M97" s="428">
        <v>495196</v>
      </c>
      <c r="N97" s="428">
        <v>0</v>
      </c>
      <c r="O97" s="428">
        <v>493600</v>
      </c>
      <c r="P97" s="429">
        <v>1766</v>
      </c>
      <c r="Q97" s="424">
        <f t="shared" si="23"/>
        <v>0</v>
      </c>
      <c r="R97" s="33">
        <v>-347000</v>
      </c>
      <c r="S97" s="34">
        <v>-177097.2</v>
      </c>
      <c r="T97" s="48"/>
      <c r="U97" s="48">
        <v>-176800</v>
      </c>
      <c r="V97" s="49">
        <v>-297</v>
      </c>
      <c r="W97" s="119"/>
      <c r="X97" s="149"/>
      <c r="Y97" s="129" t="s">
        <v>532</v>
      </c>
      <c r="Z97" s="66" t="s">
        <v>421</v>
      </c>
      <c r="AA97" s="128">
        <f t="shared" si="21"/>
        <v>0.20000000001164153</v>
      </c>
      <c r="AC97" s="209">
        <v>0</v>
      </c>
      <c r="AD97" s="209">
        <v>0</v>
      </c>
      <c r="AE97" s="209">
        <v>0</v>
      </c>
      <c r="AF97" s="209">
        <v>0</v>
      </c>
      <c r="AG97" s="209">
        <v>0</v>
      </c>
      <c r="AH97" s="209">
        <v>0</v>
      </c>
      <c r="AI97" s="210">
        <f t="shared" si="19"/>
        <v>0</v>
      </c>
      <c r="AJ97" s="207" t="str">
        <f t="shared" si="20"/>
        <v>OK</v>
      </c>
    </row>
    <row r="98" spans="1:36" ht="107.25" customHeight="1">
      <c r="A98" s="66">
        <v>87</v>
      </c>
      <c r="B98" s="99"/>
      <c r="C98" s="91"/>
      <c r="D98" s="38" t="s">
        <v>284</v>
      </c>
      <c r="E98" s="38" t="s">
        <v>621</v>
      </c>
      <c r="F98" s="33">
        <v>143488</v>
      </c>
      <c r="G98" s="428"/>
      <c r="H98" s="428"/>
      <c r="I98" s="490">
        <v>142400</v>
      </c>
      <c r="J98" s="666">
        <v>1088</v>
      </c>
      <c r="K98" s="653">
        <f>-F98*0.35</f>
        <v>-50220.799999999996</v>
      </c>
      <c r="L98" s="415">
        <v>143488</v>
      </c>
      <c r="M98" s="428">
        <v>0</v>
      </c>
      <c r="N98" s="428">
        <v>0</v>
      </c>
      <c r="O98" s="428">
        <v>143400</v>
      </c>
      <c r="P98" s="429">
        <v>88</v>
      </c>
      <c r="Q98" s="424">
        <f t="shared" si="23"/>
        <v>0</v>
      </c>
      <c r="R98" s="33">
        <v>-50000</v>
      </c>
      <c r="S98" s="34"/>
      <c r="T98" s="48"/>
      <c r="U98" s="48">
        <v>-49800</v>
      </c>
      <c r="V98" s="49">
        <v>-421</v>
      </c>
      <c r="W98" s="119"/>
      <c r="X98" s="149"/>
      <c r="Y98" s="129" t="s">
        <v>532</v>
      </c>
      <c r="Z98" s="66" t="s">
        <v>421</v>
      </c>
      <c r="AA98" s="128">
        <f t="shared" si="21"/>
        <v>0.20000000000436557</v>
      </c>
      <c r="AC98" s="209">
        <v>0</v>
      </c>
      <c r="AD98" s="209">
        <v>0</v>
      </c>
      <c r="AE98" s="209">
        <v>0</v>
      </c>
      <c r="AF98" s="209">
        <v>0</v>
      </c>
      <c r="AG98" s="209">
        <v>0</v>
      </c>
      <c r="AH98" s="209">
        <v>0</v>
      </c>
      <c r="AI98" s="210">
        <f aca="true" t="shared" si="24" ref="AI98:AI119">SUM(AC98:AH98)</f>
        <v>0</v>
      </c>
      <c r="AJ98" s="207" t="str">
        <f aca="true" t="shared" si="25" ref="AJ98:AJ120">IF(T98=AI98,"OK","OUT")</f>
        <v>OK</v>
      </c>
    </row>
    <row r="99" spans="1:36" ht="46.5" customHeight="1" thickBot="1">
      <c r="A99" s="66">
        <v>88</v>
      </c>
      <c r="B99" s="99"/>
      <c r="C99" s="90" t="s">
        <v>27</v>
      </c>
      <c r="D99" s="51" t="s">
        <v>622</v>
      </c>
      <c r="E99" s="51" t="s">
        <v>535</v>
      </c>
      <c r="F99" s="30">
        <v>4950</v>
      </c>
      <c r="G99" s="427"/>
      <c r="H99" s="427">
        <v>607</v>
      </c>
      <c r="I99" s="427"/>
      <c r="J99" s="648">
        <v>4343</v>
      </c>
      <c r="K99" s="658">
        <v>-4950</v>
      </c>
      <c r="L99" s="426">
        <v>4950</v>
      </c>
      <c r="M99" s="427"/>
      <c r="N99" s="427"/>
      <c r="O99" s="427"/>
      <c r="P99" s="427"/>
      <c r="Q99" s="424">
        <f t="shared" si="23"/>
        <v>4950</v>
      </c>
      <c r="R99" s="30">
        <v>-4950</v>
      </c>
      <c r="S99" s="52"/>
      <c r="T99" s="53">
        <v>-607</v>
      </c>
      <c r="U99" s="53"/>
      <c r="V99" s="36">
        <v>-4343</v>
      </c>
      <c r="W99" s="120"/>
      <c r="X99" s="67"/>
      <c r="Y99" s="145" t="s">
        <v>857</v>
      </c>
      <c r="Z99" s="66" t="s">
        <v>421</v>
      </c>
      <c r="AA99" s="128">
        <f t="shared" si="21"/>
        <v>0</v>
      </c>
      <c r="AC99" s="209"/>
      <c r="AD99" s="53">
        <v>-607</v>
      </c>
      <c r="AE99" s="209"/>
      <c r="AF99" s="209"/>
      <c r="AG99" s="209"/>
      <c r="AH99" s="209"/>
      <c r="AI99" s="210">
        <f t="shared" si="24"/>
        <v>-607</v>
      </c>
      <c r="AJ99" s="207" t="str">
        <f t="shared" si="25"/>
        <v>OK</v>
      </c>
    </row>
    <row r="100" spans="2:36" ht="31.5" customHeight="1" thickBot="1">
      <c r="B100" s="95"/>
      <c r="C100" s="96"/>
      <c r="D100" s="57"/>
      <c r="E100" s="57" t="s">
        <v>403</v>
      </c>
      <c r="F100" s="59">
        <f>SUM(F56:F99)</f>
        <v>87714280</v>
      </c>
      <c r="G100" s="373"/>
      <c r="H100" s="373"/>
      <c r="I100" s="373"/>
      <c r="J100" s="662"/>
      <c r="K100" s="669">
        <f>SUM(K56:K99)</f>
        <v>-48543621.8</v>
      </c>
      <c r="L100" s="422">
        <f>SUM(L56:L99)</f>
        <v>82084408</v>
      </c>
      <c r="M100" s="373"/>
      <c r="N100" s="373"/>
      <c r="O100" s="373"/>
      <c r="P100" s="373"/>
      <c r="Q100" s="424">
        <f t="shared" si="23"/>
        <v>82084408</v>
      </c>
      <c r="R100" s="59">
        <f>SUM(R56:R99)</f>
        <v>-50048809</v>
      </c>
      <c r="S100" s="68">
        <f>SUM(S56:S99)</f>
        <v>-11216121.2</v>
      </c>
      <c r="T100" s="61">
        <f>SUM(T56:T99)</f>
        <v>-2206805</v>
      </c>
      <c r="U100" s="61">
        <f>SUM(U56:U99)</f>
        <v>-32560700</v>
      </c>
      <c r="V100" s="64">
        <f>SUM(V56:V99)</f>
        <v>-2559996</v>
      </c>
      <c r="W100" s="68"/>
      <c r="X100" s="64"/>
      <c r="Y100" s="144"/>
      <c r="AA100" s="128">
        <f t="shared" si="21"/>
        <v>0.4000000059604645</v>
      </c>
      <c r="AC100" s="59">
        <f aca="true" t="shared" si="26" ref="AC100:AH100">SUM(AC56:AC99)</f>
        <v>-1755416</v>
      </c>
      <c r="AD100" s="59">
        <f t="shared" si="26"/>
        <v>-7589</v>
      </c>
      <c r="AE100" s="59">
        <f t="shared" si="26"/>
        <v>0</v>
      </c>
      <c r="AF100" s="59">
        <f t="shared" si="26"/>
        <v>-300</v>
      </c>
      <c r="AG100" s="59">
        <f t="shared" si="26"/>
        <v>-139000</v>
      </c>
      <c r="AH100" s="59">
        <f t="shared" si="26"/>
        <v>-304500</v>
      </c>
      <c r="AI100" s="210">
        <f t="shared" si="24"/>
        <v>-2206805</v>
      </c>
      <c r="AJ100" s="207" t="str">
        <f t="shared" si="25"/>
        <v>OK</v>
      </c>
    </row>
    <row r="101" spans="1:36" ht="42" customHeight="1" thickBot="1">
      <c r="A101" s="66">
        <v>89</v>
      </c>
      <c r="B101" s="88" t="s">
        <v>416</v>
      </c>
      <c r="C101" s="90" t="s">
        <v>400</v>
      </c>
      <c r="D101" s="51" t="s">
        <v>401</v>
      </c>
      <c r="E101" s="51" t="s">
        <v>402</v>
      </c>
      <c r="F101" s="30">
        <v>9200</v>
      </c>
      <c r="G101" s="427"/>
      <c r="H101" s="427"/>
      <c r="I101" s="427"/>
      <c r="J101" s="648"/>
      <c r="K101" s="658">
        <v>-4600</v>
      </c>
      <c r="L101" s="426">
        <v>92000</v>
      </c>
      <c r="M101" s="427"/>
      <c r="N101" s="427"/>
      <c r="O101" s="427"/>
      <c r="P101" s="427"/>
      <c r="Q101" s="430">
        <f t="shared" si="23"/>
        <v>92000</v>
      </c>
      <c r="R101" s="30">
        <v>-46000</v>
      </c>
      <c r="S101" s="52">
        <v>-2300</v>
      </c>
      <c r="T101" s="53"/>
      <c r="U101" s="53"/>
      <c r="V101" s="36">
        <v>-2300</v>
      </c>
      <c r="W101" s="120"/>
      <c r="X101" s="67"/>
      <c r="Y101" s="145" t="s">
        <v>656</v>
      </c>
      <c r="Z101" s="66" t="s">
        <v>421</v>
      </c>
      <c r="AA101" s="128">
        <f aca="true" t="shared" si="27" ref="AA101:AA119">K101-S101-T101-U101-V101</f>
        <v>0</v>
      </c>
      <c r="AC101" s="25"/>
      <c r="AD101" s="48"/>
      <c r="AG101" s="25"/>
      <c r="AI101" s="210">
        <f t="shared" si="24"/>
        <v>0</v>
      </c>
      <c r="AJ101" s="207" t="str">
        <f t="shared" si="25"/>
        <v>OK</v>
      </c>
    </row>
    <row r="102" spans="2:36" ht="31.5" customHeight="1" thickBot="1">
      <c r="B102" s="95"/>
      <c r="C102" s="96"/>
      <c r="D102" s="57"/>
      <c r="E102" s="57" t="s">
        <v>403</v>
      </c>
      <c r="F102" s="333">
        <f>SUM(F101:F101)</f>
        <v>9200</v>
      </c>
      <c r="G102" s="373"/>
      <c r="H102" s="373"/>
      <c r="I102" s="373"/>
      <c r="J102" s="662"/>
      <c r="K102" s="670">
        <f>SUM(K101:K101)</f>
        <v>-4600</v>
      </c>
      <c r="L102" s="422">
        <f>SUM(L101:L101)</f>
        <v>92000</v>
      </c>
      <c r="M102" s="373"/>
      <c r="N102" s="373"/>
      <c r="O102" s="373"/>
      <c r="P102" s="373"/>
      <c r="Q102" s="374">
        <f t="shared" si="23"/>
        <v>92000</v>
      </c>
      <c r="R102" s="333">
        <f>SUM(R101:R101)</f>
        <v>-46000</v>
      </c>
      <c r="S102" s="121">
        <f>SUM(S101:S101)</f>
        <v>-2300</v>
      </c>
      <c r="T102" s="105">
        <f>SUM(T101:T101)</f>
        <v>0</v>
      </c>
      <c r="U102" s="105">
        <f>SUM(U101:U101)</f>
        <v>0</v>
      </c>
      <c r="V102" s="106">
        <f>SUM(V101:V101)</f>
        <v>-2300</v>
      </c>
      <c r="W102" s="121"/>
      <c r="X102" s="106"/>
      <c r="Y102" s="144"/>
      <c r="AA102" s="128">
        <f t="shared" si="27"/>
        <v>0</v>
      </c>
      <c r="AC102" s="103">
        <f aca="true" t="shared" si="28" ref="AC102:AH102">SUM(AC101:AC101)</f>
        <v>0</v>
      </c>
      <c r="AD102" s="103">
        <f t="shared" si="28"/>
        <v>0</v>
      </c>
      <c r="AE102" s="103">
        <f t="shared" si="28"/>
        <v>0</v>
      </c>
      <c r="AF102" s="103">
        <f t="shared" si="28"/>
        <v>0</v>
      </c>
      <c r="AG102" s="103">
        <f t="shared" si="28"/>
        <v>0</v>
      </c>
      <c r="AH102" s="103">
        <f t="shared" si="28"/>
        <v>0</v>
      </c>
      <c r="AI102" s="210">
        <f t="shared" si="24"/>
        <v>0</v>
      </c>
      <c r="AJ102" s="207" t="str">
        <f t="shared" si="25"/>
        <v>OK</v>
      </c>
    </row>
    <row r="103" spans="1:36" ht="40.5" customHeight="1">
      <c r="A103" s="66">
        <v>90</v>
      </c>
      <c r="B103" s="89" t="s">
        <v>415</v>
      </c>
      <c r="C103" s="192" t="s">
        <v>571</v>
      </c>
      <c r="D103" s="50" t="s">
        <v>589</v>
      </c>
      <c r="E103" s="50"/>
      <c r="F103" s="334">
        <v>2732</v>
      </c>
      <c r="G103" s="414"/>
      <c r="H103" s="414"/>
      <c r="I103" s="414"/>
      <c r="J103" s="641"/>
      <c r="K103" s="671">
        <v>-2732</v>
      </c>
      <c r="L103" s="413">
        <v>3418</v>
      </c>
      <c r="M103" s="414"/>
      <c r="N103" s="414"/>
      <c r="O103" s="414"/>
      <c r="P103" s="414"/>
      <c r="Q103" s="424">
        <f t="shared" si="23"/>
        <v>3418</v>
      </c>
      <c r="R103" s="334">
        <v>-3418</v>
      </c>
      <c r="S103" s="176"/>
      <c r="T103" s="184"/>
      <c r="U103" s="184"/>
      <c r="V103" s="185">
        <v>-2732</v>
      </c>
      <c r="W103" s="176"/>
      <c r="X103" s="186"/>
      <c r="Y103" s="142" t="s">
        <v>590</v>
      </c>
      <c r="Z103" s="66" t="s">
        <v>421</v>
      </c>
      <c r="AA103" s="128">
        <f t="shared" si="27"/>
        <v>0</v>
      </c>
      <c r="AI103" s="210">
        <f t="shared" si="24"/>
        <v>0</v>
      </c>
      <c r="AJ103" s="207" t="str">
        <f t="shared" si="25"/>
        <v>OK</v>
      </c>
    </row>
    <row r="104" spans="1:36" ht="58.5" customHeight="1">
      <c r="A104" s="66">
        <v>91</v>
      </c>
      <c r="B104" s="222"/>
      <c r="C104" s="217" t="s">
        <v>423</v>
      </c>
      <c r="D104" s="56" t="s">
        <v>751</v>
      </c>
      <c r="E104" s="38" t="s">
        <v>807</v>
      </c>
      <c r="F104" s="332">
        <v>5342</v>
      </c>
      <c r="G104" s="416"/>
      <c r="H104" s="416"/>
      <c r="I104" s="416"/>
      <c r="J104" s="644"/>
      <c r="K104" s="659">
        <v>-5342</v>
      </c>
      <c r="L104" s="415">
        <v>10485</v>
      </c>
      <c r="M104" s="416"/>
      <c r="N104" s="416"/>
      <c r="O104" s="416"/>
      <c r="P104" s="416"/>
      <c r="Q104" s="424">
        <f t="shared" si="23"/>
        <v>10485</v>
      </c>
      <c r="R104" s="332">
        <v>-10485</v>
      </c>
      <c r="S104" s="320"/>
      <c r="T104" s="187"/>
      <c r="U104" s="187"/>
      <c r="V104" s="188">
        <v>-5342</v>
      </c>
      <c r="W104" s="177"/>
      <c r="X104" s="189"/>
      <c r="Y104" s="129"/>
      <c r="Z104" s="66" t="s">
        <v>421</v>
      </c>
      <c r="AA104" s="128">
        <f t="shared" si="27"/>
        <v>0</v>
      </c>
      <c r="AI104" s="210">
        <f t="shared" si="24"/>
        <v>0</v>
      </c>
      <c r="AJ104" s="207" t="str">
        <f t="shared" si="25"/>
        <v>OK</v>
      </c>
    </row>
    <row r="105" spans="1:36" ht="67.5" customHeight="1">
      <c r="A105" s="66">
        <v>92</v>
      </c>
      <c r="B105" s="222"/>
      <c r="C105" s="217"/>
      <c r="D105" s="56"/>
      <c r="E105" s="38" t="s">
        <v>486</v>
      </c>
      <c r="F105" s="332">
        <v>144772</v>
      </c>
      <c r="G105" s="416">
        <v>47732</v>
      </c>
      <c r="H105" s="416"/>
      <c r="I105" s="416"/>
      <c r="J105" s="644">
        <v>97040</v>
      </c>
      <c r="K105" s="659">
        <v>-144772</v>
      </c>
      <c r="L105" s="415">
        <v>152403</v>
      </c>
      <c r="M105" s="416"/>
      <c r="N105" s="416"/>
      <c r="O105" s="416"/>
      <c r="P105" s="416"/>
      <c r="Q105" s="424">
        <f t="shared" si="23"/>
        <v>152403</v>
      </c>
      <c r="R105" s="332">
        <v>-152403</v>
      </c>
      <c r="S105" s="320">
        <v>-47732</v>
      </c>
      <c r="T105" s="187"/>
      <c r="U105" s="187"/>
      <c r="V105" s="188">
        <v>-97040</v>
      </c>
      <c r="W105" s="177"/>
      <c r="X105" s="189"/>
      <c r="Y105" s="129"/>
      <c r="Z105" s="66" t="s">
        <v>421</v>
      </c>
      <c r="AA105" s="128">
        <f t="shared" si="27"/>
        <v>0</v>
      </c>
      <c r="AI105" s="210">
        <f t="shared" si="24"/>
        <v>0</v>
      </c>
      <c r="AJ105" s="207" t="str">
        <f t="shared" si="25"/>
        <v>OK</v>
      </c>
    </row>
    <row r="106" spans="1:36" ht="67.5" customHeight="1">
      <c r="A106" s="66">
        <v>93</v>
      </c>
      <c r="B106" s="222"/>
      <c r="C106" s="217"/>
      <c r="D106" s="56"/>
      <c r="E106" s="38" t="s">
        <v>663</v>
      </c>
      <c r="F106" s="332">
        <v>85061</v>
      </c>
      <c r="G106" s="416"/>
      <c r="H106" s="416"/>
      <c r="I106" s="416"/>
      <c r="J106" s="644"/>
      <c r="K106" s="659">
        <v>-85061</v>
      </c>
      <c r="L106" s="415"/>
      <c r="M106" s="416"/>
      <c r="N106" s="416"/>
      <c r="O106" s="416"/>
      <c r="P106" s="416"/>
      <c r="Q106" s="424"/>
      <c r="R106" s="332"/>
      <c r="S106" s="320"/>
      <c r="T106" s="187"/>
      <c r="U106" s="187"/>
      <c r="V106" s="188">
        <v>-85061</v>
      </c>
      <c r="W106" s="177"/>
      <c r="X106" s="189"/>
      <c r="Y106" s="129"/>
      <c r="Z106" s="66" t="s">
        <v>421</v>
      </c>
      <c r="AA106" s="128">
        <f t="shared" si="27"/>
        <v>0</v>
      </c>
      <c r="AI106" s="210">
        <f t="shared" si="24"/>
        <v>0</v>
      </c>
      <c r="AJ106" s="207" t="str">
        <f t="shared" si="25"/>
        <v>OK</v>
      </c>
    </row>
    <row r="107" spans="1:36" ht="67.5" customHeight="1">
      <c r="A107" s="66">
        <v>94</v>
      </c>
      <c r="B107" s="222"/>
      <c r="C107" s="217"/>
      <c r="D107" s="56"/>
      <c r="E107" s="50" t="s">
        <v>864</v>
      </c>
      <c r="F107" s="334">
        <v>1605</v>
      </c>
      <c r="G107" s="414"/>
      <c r="H107" s="414"/>
      <c r="I107" s="414"/>
      <c r="J107" s="641"/>
      <c r="K107" s="671">
        <v>-1605</v>
      </c>
      <c r="L107" s="413">
        <v>2947</v>
      </c>
      <c r="M107" s="414"/>
      <c r="N107" s="414"/>
      <c r="O107" s="414"/>
      <c r="P107" s="414"/>
      <c r="Q107" s="424">
        <f aca="true" t="shared" si="29" ref="Q107:Q117">L107-M107-N107-O107-P107</f>
        <v>2947</v>
      </c>
      <c r="R107" s="334">
        <v>-2947</v>
      </c>
      <c r="S107" s="398"/>
      <c r="T107" s="184"/>
      <c r="U107" s="184"/>
      <c r="V107" s="185">
        <v>-1605</v>
      </c>
      <c r="W107" s="176"/>
      <c r="X107" s="186"/>
      <c r="Y107" s="142" t="s">
        <v>298</v>
      </c>
      <c r="Z107" s="66" t="s">
        <v>752</v>
      </c>
      <c r="AA107" s="128">
        <f t="shared" si="27"/>
        <v>0</v>
      </c>
      <c r="AI107" s="210">
        <f t="shared" si="24"/>
        <v>0</v>
      </c>
      <c r="AJ107" s="207" t="str">
        <f t="shared" si="25"/>
        <v>OK</v>
      </c>
    </row>
    <row r="108" spans="1:37" ht="52.5" customHeight="1">
      <c r="A108" s="66">
        <v>95</v>
      </c>
      <c r="B108" s="89"/>
      <c r="C108" s="217"/>
      <c r="D108" s="38" t="s">
        <v>596</v>
      </c>
      <c r="E108" s="38" t="s">
        <v>597</v>
      </c>
      <c r="F108" s="332">
        <v>21095</v>
      </c>
      <c r="G108" s="416"/>
      <c r="H108" s="416"/>
      <c r="I108" s="416"/>
      <c r="J108" s="644"/>
      <c r="K108" s="659">
        <v>-21095</v>
      </c>
      <c r="L108" s="415">
        <v>20796</v>
      </c>
      <c r="M108" s="416"/>
      <c r="N108" s="416"/>
      <c r="O108" s="416"/>
      <c r="P108" s="416"/>
      <c r="Q108" s="424">
        <f t="shared" si="29"/>
        <v>20796</v>
      </c>
      <c r="R108" s="332">
        <v>-20796</v>
      </c>
      <c r="S108" s="320"/>
      <c r="T108" s="187"/>
      <c r="U108" s="187"/>
      <c r="V108" s="188">
        <v>-21095</v>
      </c>
      <c r="W108" s="177"/>
      <c r="X108" s="189"/>
      <c r="Y108" s="129"/>
      <c r="Z108" s="66" t="s">
        <v>421</v>
      </c>
      <c r="AA108" s="128">
        <f t="shared" si="27"/>
        <v>0</v>
      </c>
      <c r="AI108" s="210">
        <f t="shared" si="24"/>
        <v>0</v>
      </c>
      <c r="AJ108" s="207" t="str">
        <f t="shared" si="25"/>
        <v>OK</v>
      </c>
      <c r="AK108" s="25"/>
    </row>
    <row r="109" spans="1:37" ht="52.5" customHeight="1">
      <c r="A109" s="66">
        <v>96</v>
      </c>
      <c r="B109" s="89"/>
      <c r="C109" s="217"/>
      <c r="D109" s="38" t="s">
        <v>591</v>
      </c>
      <c r="E109" s="38" t="s">
        <v>592</v>
      </c>
      <c r="F109" s="332">
        <v>504212</v>
      </c>
      <c r="G109" s="416">
        <v>26496</v>
      </c>
      <c r="H109" s="416"/>
      <c r="I109" s="416"/>
      <c r="J109" s="644">
        <v>477716</v>
      </c>
      <c r="K109" s="659">
        <v>-168071</v>
      </c>
      <c r="L109" s="415">
        <v>515165</v>
      </c>
      <c r="M109" s="416"/>
      <c r="N109" s="416"/>
      <c r="O109" s="416"/>
      <c r="P109" s="416"/>
      <c r="Q109" s="424">
        <f t="shared" si="29"/>
        <v>515165</v>
      </c>
      <c r="R109" s="332">
        <v>-154000</v>
      </c>
      <c r="S109" s="320">
        <v>-8832</v>
      </c>
      <c r="T109" s="187"/>
      <c r="U109" s="187"/>
      <c r="V109" s="188">
        <v>-159239</v>
      </c>
      <c r="W109" s="177"/>
      <c r="X109" s="189"/>
      <c r="Y109" s="129" t="s">
        <v>1</v>
      </c>
      <c r="Z109" s="66" t="s">
        <v>421</v>
      </c>
      <c r="AA109" s="128">
        <f t="shared" si="27"/>
        <v>0</v>
      </c>
      <c r="AI109" s="210">
        <f t="shared" si="24"/>
        <v>0</v>
      </c>
      <c r="AJ109" s="207" t="str">
        <f t="shared" si="25"/>
        <v>OK</v>
      </c>
      <c r="AK109" s="25"/>
    </row>
    <row r="110" spans="1:37" ht="52.5" customHeight="1">
      <c r="A110" s="66">
        <v>97</v>
      </c>
      <c r="B110" s="89"/>
      <c r="C110" s="218" t="s">
        <v>593</v>
      </c>
      <c r="D110" s="38" t="s">
        <v>594</v>
      </c>
      <c r="E110" s="38"/>
      <c r="F110" s="26">
        <v>8067596</v>
      </c>
      <c r="G110" s="416">
        <v>957877</v>
      </c>
      <c r="H110" s="416"/>
      <c r="I110" s="416">
        <v>7062900</v>
      </c>
      <c r="J110" s="644">
        <v>46819</v>
      </c>
      <c r="K110" s="656">
        <v>-516190</v>
      </c>
      <c r="L110" s="131">
        <v>99299563</v>
      </c>
      <c r="M110" s="416"/>
      <c r="N110" s="416"/>
      <c r="O110" s="416"/>
      <c r="P110" s="416"/>
      <c r="Q110" s="424">
        <f t="shared" si="29"/>
        <v>99299563</v>
      </c>
      <c r="R110" s="26">
        <v>56855</v>
      </c>
      <c r="S110" s="47"/>
      <c r="T110" s="48"/>
      <c r="U110" s="48">
        <v>-516100</v>
      </c>
      <c r="V110" s="49">
        <v>-90</v>
      </c>
      <c r="W110" s="49"/>
      <c r="X110" s="49"/>
      <c r="Y110" s="129" t="s">
        <v>483</v>
      </c>
      <c r="Z110" s="66" t="s">
        <v>421</v>
      </c>
      <c r="AA110" s="128">
        <f t="shared" si="27"/>
        <v>0</v>
      </c>
      <c r="AI110" s="210"/>
      <c r="AJ110" s="207"/>
      <c r="AK110" s="25"/>
    </row>
    <row r="111" spans="1:36" ht="37.5" customHeight="1">
      <c r="A111" s="66">
        <v>98</v>
      </c>
      <c r="B111" s="89"/>
      <c r="C111" s="93" t="s">
        <v>213</v>
      </c>
      <c r="D111" s="38" t="s">
        <v>215</v>
      </c>
      <c r="E111" s="38" t="s">
        <v>44</v>
      </c>
      <c r="F111" s="26">
        <v>16321</v>
      </c>
      <c r="G111" s="416"/>
      <c r="H111" s="416">
        <v>352</v>
      </c>
      <c r="I111" s="416"/>
      <c r="J111" s="644">
        <v>15969</v>
      </c>
      <c r="K111" s="656">
        <v>-16321</v>
      </c>
      <c r="L111" s="415">
        <v>20340</v>
      </c>
      <c r="M111" s="416"/>
      <c r="N111" s="416"/>
      <c r="O111" s="416"/>
      <c r="P111" s="416"/>
      <c r="Q111" s="424">
        <f t="shared" si="29"/>
        <v>20340</v>
      </c>
      <c r="R111" s="26">
        <v>-20340</v>
      </c>
      <c r="S111" s="47"/>
      <c r="T111" s="48">
        <v>-352</v>
      </c>
      <c r="U111" s="48"/>
      <c r="V111" s="49">
        <v>-15969</v>
      </c>
      <c r="W111" s="119">
        <v>16321</v>
      </c>
      <c r="X111" s="149"/>
      <c r="Y111" s="129"/>
      <c r="Z111" s="66" t="s">
        <v>421</v>
      </c>
      <c r="AA111" s="128">
        <f t="shared" si="27"/>
        <v>0</v>
      </c>
      <c r="AD111" s="614">
        <v>-352</v>
      </c>
      <c r="AI111" s="210">
        <f t="shared" si="24"/>
        <v>-352</v>
      </c>
      <c r="AJ111" s="207" t="str">
        <f t="shared" si="25"/>
        <v>OK</v>
      </c>
    </row>
    <row r="112" spans="1:36" ht="31.5" customHeight="1">
      <c r="A112" s="66">
        <v>99</v>
      </c>
      <c r="B112" s="99"/>
      <c r="C112" s="219" t="s">
        <v>424</v>
      </c>
      <c r="D112" s="51" t="s">
        <v>134</v>
      </c>
      <c r="E112" s="38" t="s">
        <v>135</v>
      </c>
      <c r="F112" s="26">
        <v>8216</v>
      </c>
      <c r="G112" s="416"/>
      <c r="H112" s="416"/>
      <c r="I112" s="416"/>
      <c r="J112" s="644"/>
      <c r="K112" s="656">
        <v>-8216</v>
      </c>
      <c r="L112" s="415">
        <v>8290</v>
      </c>
      <c r="M112" s="416"/>
      <c r="N112" s="416"/>
      <c r="O112" s="416"/>
      <c r="P112" s="416"/>
      <c r="Q112" s="424">
        <f t="shared" si="29"/>
        <v>8290</v>
      </c>
      <c r="R112" s="26">
        <v>-8290</v>
      </c>
      <c r="S112" s="47"/>
      <c r="T112" s="48"/>
      <c r="U112" s="48"/>
      <c r="V112" s="49">
        <v>-8216</v>
      </c>
      <c r="W112" s="119"/>
      <c r="X112" s="149"/>
      <c r="Y112" s="129" t="s">
        <v>72</v>
      </c>
      <c r="Z112" s="66" t="s">
        <v>421</v>
      </c>
      <c r="AA112" s="128">
        <f t="shared" si="27"/>
        <v>0</v>
      </c>
      <c r="AC112" s="25"/>
      <c r="AI112" s="210">
        <f t="shared" si="24"/>
        <v>0</v>
      </c>
      <c r="AJ112" s="207" t="str">
        <f t="shared" si="25"/>
        <v>OK</v>
      </c>
    </row>
    <row r="113" spans="1:36" ht="36.75" customHeight="1">
      <c r="A113" s="66">
        <v>100</v>
      </c>
      <c r="B113" s="99"/>
      <c r="C113" s="217"/>
      <c r="D113" s="56"/>
      <c r="E113" s="38" t="s">
        <v>623</v>
      </c>
      <c r="F113" s="26">
        <v>16920</v>
      </c>
      <c r="G113" s="416"/>
      <c r="H113" s="416"/>
      <c r="I113" s="416"/>
      <c r="J113" s="644"/>
      <c r="K113" s="656">
        <v>-16920</v>
      </c>
      <c r="L113" s="415">
        <v>18000</v>
      </c>
      <c r="M113" s="416"/>
      <c r="N113" s="416"/>
      <c r="O113" s="416"/>
      <c r="P113" s="416"/>
      <c r="Q113" s="424">
        <f t="shared" si="29"/>
        <v>18000</v>
      </c>
      <c r="R113" s="26">
        <v>-18000</v>
      </c>
      <c r="S113" s="47"/>
      <c r="T113" s="48"/>
      <c r="U113" s="48"/>
      <c r="V113" s="49">
        <v>-16920</v>
      </c>
      <c r="W113" s="119"/>
      <c r="X113" s="149"/>
      <c r="Y113" s="129" t="s">
        <v>58</v>
      </c>
      <c r="Z113" s="66" t="s">
        <v>421</v>
      </c>
      <c r="AA113" s="128">
        <f t="shared" si="27"/>
        <v>0</v>
      </c>
      <c r="AC113" s="25"/>
      <c r="AI113" s="210">
        <f t="shared" si="24"/>
        <v>0</v>
      </c>
      <c r="AJ113" s="207" t="str">
        <f t="shared" si="25"/>
        <v>OK</v>
      </c>
    </row>
    <row r="114" spans="1:36" ht="42.75" customHeight="1">
      <c r="A114" s="66">
        <v>101</v>
      </c>
      <c r="B114" s="89"/>
      <c r="C114" s="217"/>
      <c r="D114" s="56"/>
      <c r="E114" s="38" t="s">
        <v>484</v>
      </c>
      <c r="F114" s="26">
        <v>7737</v>
      </c>
      <c r="G114" s="416"/>
      <c r="H114" s="416"/>
      <c r="I114" s="416"/>
      <c r="J114" s="644"/>
      <c r="K114" s="656">
        <v>-7737</v>
      </c>
      <c r="L114" s="415">
        <v>7762</v>
      </c>
      <c r="M114" s="416"/>
      <c r="N114" s="416"/>
      <c r="O114" s="416"/>
      <c r="P114" s="416"/>
      <c r="Q114" s="424">
        <f t="shared" si="29"/>
        <v>7762</v>
      </c>
      <c r="R114" s="26">
        <v>-7762</v>
      </c>
      <c r="S114" s="47"/>
      <c r="T114" s="48"/>
      <c r="U114" s="48"/>
      <c r="V114" s="49">
        <v>-7737</v>
      </c>
      <c r="W114" s="119"/>
      <c r="X114" s="149"/>
      <c r="Y114" s="129" t="s">
        <v>747</v>
      </c>
      <c r="Z114" s="66" t="s">
        <v>421</v>
      </c>
      <c r="AA114" s="128">
        <f t="shared" si="27"/>
        <v>0</v>
      </c>
      <c r="AC114" s="25"/>
      <c r="AI114" s="210">
        <f t="shared" si="24"/>
        <v>0</v>
      </c>
      <c r="AJ114" s="207" t="str">
        <f t="shared" si="25"/>
        <v>OK</v>
      </c>
    </row>
    <row r="115" spans="1:36" ht="41.25" customHeight="1">
      <c r="A115" s="66">
        <v>102</v>
      </c>
      <c r="B115" s="99"/>
      <c r="C115" s="217"/>
      <c r="D115" s="56"/>
      <c r="E115" s="38" t="s">
        <v>5</v>
      </c>
      <c r="F115" s="26">
        <v>20877</v>
      </c>
      <c r="G115" s="416"/>
      <c r="H115" s="416"/>
      <c r="I115" s="416"/>
      <c r="J115" s="644"/>
      <c r="K115" s="656">
        <v>-20877</v>
      </c>
      <c r="L115" s="415">
        <v>22400</v>
      </c>
      <c r="M115" s="416"/>
      <c r="N115" s="416"/>
      <c r="O115" s="416"/>
      <c r="P115" s="416"/>
      <c r="Q115" s="424">
        <f t="shared" si="29"/>
        <v>22400</v>
      </c>
      <c r="R115" s="26">
        <v>-22400</v>
      </c>
      <c r="S115" s="47"/>
      <c r="T115" s="48"/>
      <c r="U115" s="48"/>
      <c r="V115" s="49">
        <v>-20877</v>
      </c>
      <c r="W115" s="119"/>
      <c r="X115" s="149"/>
      <c r="Y115" s="129" t="s">
        <v>72</v>
      </c>
      <c r="Z115" s="66" t="s">
        <v>421</v>
      </c>
      <c r="AA115" s="128">
        <f t="shared" si="27"/>
        <v>0</v>
      </c>
      <c r="AI115" s="210">
        <f t="shared" si="24"/>
        <v>0</v>
      </c>
      <c r="AJ115" s="207" t="str">
        <f t="shared" si="25"/>
        <v>OK</v>
      </c>
    </row>
    <row r="116" spans="1:36" ht="41.25" customHeight="1">
      <c r="A116" s="66">
        <v>103</v>
      </c>
      <c r="B116" s="99"/>
      <c r="C116" s="217"/>
      <c r="D116" s="56"/>
      <c r="E116" s="38" t="s">
        <v>808</v>
      </c>
      <c r="F116" s="26">
        <v>3900</v>
      </c>
      <c r="G116" s="416"/>
      <c r="H116" s="416"/>
      <c r="I116" s="416"/>
      <c r="J116" s="644"/>
      <c r="K116" s="656">
        <v>-3900</v>
      </c>
      <c r="L116" s="415">
        <v>6454</v>
      </c>
      <c r="M116" s="416"/>
      <c r="N116" s="416"/>
      <c r="O116" s="416"/>
      <c r="P116" s="416"/>
      <c r="Q116" s="424">
        <f t="shared" si="29"/>
        <v>6454</v>
      </c>
      <c r="R116" s="26">
        <v>-6454</v>
      </c>
      <c r="S116" s="47"/>
      <c r="T116" s="48"/>
      <c r="U116" s="48"/>
      <c r="V116" s="49">
        <v>-3900</v>
      </c>
      <c r="W116" s="119"/>
      <c r="X116" s="149"/>
      <c r="Y116" s="129" t="s">
        <v>72</v>
      </c>
      <c r="Z116" s="66" t="s">
        <v>421</v>
      </c>
      <c r="AA116" s="128">
        <f t="shared" si="27"/>
        <v>0</v>
      </c>
      <c r="AI116" s="210">
        <f t="shared" si="24"/>
        <v>0</v>
      </c>
      <c r="AJ116" s="207" t="str">
        <f t="shared" si="25"/>
        <v>OK</v>
      </c>
    </row>
    <row r="117" spans="1:36" ht="43.5" customHeight="1" thickBot="1">
      <c r="A117" s="66">
        <v>104</v>
      </c>
      <c r="B117" s="99"/>
      <c r="C117" s="221" t="s">
        <v>384</v>
      </c>
      <c r="D117" s="38" t="s">
        <v>385</v>
      </c>
      <c r="E117" s="38"/>
      <c r="F117" s="26">
        <v>4510</v>
      </c>
      <c r="G117" s="416"/>
      <c r="H117" s="416"/>
      <c r="I117" s="416"/>
      <c r="J117" s="644"/>
      <c r="K117" s="656">
        <v>-4510</v>
      </c>
      <c r="L117" s="415">
        <v>4902</v>
      </c>
      <c r="M117" s="416"/>
      <c r="N117" s="416"/>
      <c r="O117" s="416"/>
      <c r="P117" s="416"/>
      <c r="Q117" s="424">
        <f t="shared" si="29"/>
        <v>4902</v>
      </c>
      <c r="R117" s="26">
        <v>-2500</v>
      </c>
      <c r="S117" s="47"/>
      <c r="T117" s="48"/>
      <c r="U117" s="48"/>
      <c r="V117" s="49">
        <v>-4510</v>
      </c>
      <c r="W117" s="120"/>
      <c r="X117" s="67"/>
      <c r="Y117" s="145" t="s">
        <v>95</v>
      </c>
      <c r="Z117" s="66" t="s">
        <v>421</v>
      </c>
      <c r="AA117" s="128">
        <f>K117-S117-T117-U117-V117</f>
        <v>0</v>
      </c>
      <c r="AC117" s="25"/>
      <c r="AI117" s="210">
        <f t="shared" si="24"/>
        <v>0</v>
      </c>
      <c r="AJ117" s="207" t="str">
        <f t="shared" si="25"/>
        <v>OK</v>
      </c>
    </row>
    <row r="118" spans="2:36" ht="31.5" customHeight="1" thickBot="1">
      <c r="B118" s="95"/>
      <c r="C118" s="69"/>
      <c r="D118" s="57"/>
      <c r="E118" s="57" t="s">
        <v>403</v>
      </c>
      <c r="F118" s="59">
        <f aca="true" t="shared" si="30" ref="F118:L118">SUM(F103:F117)</f>
        <v>8910896</v>
      </c>
      <c r="G118" s="373">
        <f t="shared" si="30"/>
        <v>1032105</v>
      </c>
      <c r="H118" s="373">
        <f t="shared" si="30"/>
        <v>352</v>
      </c>
      <c r="I118" s="373">
        <f t="shared" si="30"/>
        <v>7062900</v>
      </c>
      <c r="J118" s="662">
        <f t="shared" si="30"/>
        <v>637544</v>
      </c>
      <c r="K118" s="669">
        <f t="shared" si="30"/>
        <v>-1023349</v>
      </c>
      <c r="L118" s="422">
        <f t="shared" si="30"/>
        <v>100092925</v>
      </c>
      <c r="M118" s="373"/>
      <c r="N118" s="373"/>
      <c r="O118" s="373"/>
      <c r="P118" s="373"/>
      <c r="Q118" s="373"/>
      <c r="R118" s="59">
        <f>SUM(R103:R117)</f>
        <v>-372940</v>
      </c>
      <c r="S118" s="60">
        <f>SUM(S103:S117)</f>
        <v>-56564</v>
      </c>
      <c r="T118" s="61">
        <f>SUM(T103:T117)</f>
        <v>-352</v>
      </c>
      <c r="U118" s="61">
        <f>SUM(U103:U117)</f>
        <v>-516100</v>
      </c>
      <c r="V118" s="64">
        <f>SUM(V103:V117)</f>
        <v>-450333</v>
      </c>
      <c r="W118" s="68"/>
      <c r="X118" s="64"/>
      <c r="Y118" s="144"/>
      <c r="AA118" s="128">
        <f t="shared" si="27"/>
        <v>0</v>
      </c>
      <c r="AC118" s="59">
        <f aca="true" t="shared" si="31" ref="AC118:AH118">SUM(AC103:AC117)</f>
        <v>0</v>
      </c>
      <c r="AD118" s="59">
        <f t="shared" si="31"/>
        <v>-352</v>
      </c>
      <c r="AE118" s="59">
        <f t="shared" si="31"/>
        <v>0</v>
      </c>
      <c r="AF118" s="59">
        <f t="shared" si="31"/>
        <v>0</v>
      </c>
      <c r="AG118" s="59">
        <f t="shared" si="31"/>
        <v>0</v>
      </c>
      <c r="AH118" s="59">
        <f t="shared" si="31"/>
        <v>0</v>
      </c>
      <c r="AI118" s="210">
        <f t="shared" si="24"/>
        <v>-352</v>
      </c>
      <c r="AJ118" s="207" t="str">
        <f t="shared" si="25"/>
        <v>OK</v>
      </c>
    </row>
    <row r="119" spans="1:36" ht="39.75" customHeight="1" thickBot="1">
      <c r="A119" s="66">
        <v>105</v>
      </c>
      <c r="B119" s="108" t="s">
        <v>673</v>
      </c>
      <c r="C119" s="69" t="s">
        <v>673</v>
      </c>
      <c r="D119" s="57" t="s">
        <v>673</v>
      </c>
      <c r="E119" s="63"/>
      <c r="F119" s="59">
        <v>1000000</v>
      </c>
      <c r="G119" s="433"/>
      <c r="H119" s="433"/>
      <c r="I119" s="433"/>
      <c r="J119" s="358">
        <v>1000000</v>
      </c>
      <c r="K119" s="669">
        <v>-500000</v>
      </c>
      <c r="L119" s="432">
        <v>1000000</v>
      </c>
      <c r="M119" s="433"/>
      <c r="N119" s="433"/>
      <c r="O119" s="433"/>
      <c r="P119" s="433"/>
      <c r="Q119" s="433"/>
      <c r="R119" s="59">
        <v>-500000</v>
      </c>
      <c r="S119" s="54"/>
      <c r="T119" s="61"/>
      <c r="U119" s="61"/>
      <c r="V119" s="64">
        <v>-500000</v>
      </c>
      <c r="W119" s="54"/>
      <c r="X119" s="64"/>
      <c r="Y119" s="87" t="s">
        <v>291</v>
      </c>
      <c r="Z119" s="66" t="s">
        <v>421</v>
      </c>
      <c r="AA119" s="128">
        <f t="shared" si="27"/>
        <v>0</v>
      </c>
      <c r="AI119" s="210">
        <f t="shared" si="24"/>
        <v>0</v>
      </c>
      <c r="AJ119" s="207" t="str">
        <f t="shared" si="25"/>
        <v>OK</v>
      </c>
    </row>
    <row r="120" spans="2:37" ht="31.5" customHeight="1" thickBot="1">
      <c r="B120" s="109"/>
      <c r="C120" s="65"/>
      <c r="D120" s="65"/>
      <c r="E120" s="138" t="s">
        <v>156</v>
      </c>
      <c r="F120" s="31">
        <f aca="true" t="shared" si="32" ref="F120:L120">F6+F27+F31+F35+F40+F46+F55+F100+F102+F118+F119</f>
        <v>124488807</v>
      </c>
      <c r="G120" s="376">
        <f t="shared" si="32"/>
        <v>1978600</v>
      </c>
      <c r="H120" s="376">
        <f t="shared" si="32"/>
        <v>5207687</v>
      </c>
      <c r="I120" s="376">
        <f t="shared" si="32"/>
        <v>9959600</v>
      </c>
      <c r="J120" s="634">
        <f t="shared" si="32"/>
        <v>13294601</v>
      </c>
      <c r="K120" s="660">
        <f t="shared" si="32"/>
        <v>-65395468.8</v>
      </c>
      <c r="L120" s="375">
        <f t="shared" si="32"/>
        <v>217842716</v>
      </c>
      <c r="M120" s="376"/>
      <c r="N120" s="376"/>
      <c r="O120" s="376"/>
      <c r="P120" s="376"/>
      <c r="Q120" s="376"/>
      <c r="R120" s="31">
        <f>R6+R27+R31+R35+R40+R46+R55+R100+R102+R118+R119</f>
        <v>-66480592</v>
      </c>
      <c r="S120" s="114">
        <f>S6+S27+S31+S35+S40+S46+S55+S100+S102+S118+S119</f>
        <v>-11975514.2</v>
      </c>
      <c r="T120" s="111">
        <f>T6+T27+T31+T35+T40+T46+T55+T100+T102+T118+T119</f>
        <v>-5714720</v>
      </c>
      <c r="U120" s="111">
        <f>U6+U27+U31+U35+U40+U46+U55+U100+U102+U118+U119</f>
        <v>-35788500</v>
      </c>
      <c r="V120" s="111">
        <f>V6+V27+V31+V35+V40+V46+V55+V100+V102+V118+V119</f>
        <v>-11916735</v>
      </c>
      <c r="W120" s="114"/>
      <c r="X120" s="112"/>
      <c r="Y120" s="87"/>
      <c r="AA120" s="128">
        <f>K120-S120-T120-U120-V120</f>
        <v>0.4000000059604645</v>
      </c>
      <c r="AC120" s="111">
        <f aca="true" t="shared" si="33" ref="AC120:AI120">AC6+AC27+AC31+AC35+AC40+AC46+AC55+AC100+AC102+AC118+AC119</f>
        <v>-3357589</v>
      </c>
      <c r="AD120" s="111">
        <f t="shared" si="33"/>
        <v>-8817</v>
      </c>
      <c r="AE120" s="111">
        <f t="shared" si="33"/>
        <v>0</v>
      </c>
      <c r="AF120" s="111">
        <f t="shared" si="33"/>
        <v>-300</v>
      </c>
      <c r="AG120" s="111">
        <f t="shared" si="33"/>
        <v>-1335700</v>
      </c>
      <c r="AH120" s="111">
        <f t="shared" si="33"/>
        <v>-1012314</v>
      </c>
      <c r="AI120" s="111">
        <f t="shared" si="33"/>
        <v>-5714720</v>
      </c>
      <c r="AJ120" s="207" t="str">
        <f t="shared" si="25"/>
        <v>OK</v>
      </c>
      <c r="AK120" s="66">
        <f>SUM(AK7:AK119)</f>
        <v>-695911</v>
      </c>
    </row>
    <row r="121" ht="13.5">
      <c r="AJ121" s="207"/>
    </row>
    <row r="122" spans="20:36" ht="13.5">
      <c r="T122" s="25"/>
      <c r="U122" s="25"/>
      <c r="V122" s="25"/>
      <c r="W122" s="25"/>
      <c r="X122" s="25"/>
      <c r="Y122" s="146"/>
      <c r="AJ122" s="207"/>
    </row>
    <row r="123" spans="11:27" ht="14.25" hidden="1" thickBot="1">
      <c r="K123" s="76" t="e">
        <f>#REF!+#REF!+'10年増額'!K12+'10年増額'!K13+#REF!+#REF!+'10年増額'!K14+'10年増額'!K15+#REF!+#REF!+#REF!+'10年増額'!K27+'10年増額'!K30+#REF!+#REF!+#REF!+#REF!+'10年増額'!K54</f>
        <v>#REF!</v>
      </c>
      <c r="R123" s="76" t="e">
        <f>#REF!+#REF!+'10年増額'!R12+'10年増額'!R13+#REF!+#REF!+'10年増額'!R14+'10年増額'!R15+#REF!+#REF!+#REF!+'10年増額'!R27+'10年増額'!R30+#REF!+#REF!+#REF!+#REF!+'10年増額'!R54</f>
        <v>#REF!</v>
      </c>
      <c r="S123" s="76" t="e">
        <f>#REF!+#REF!+'10年増額'!S12+'10年増額'!S13+#REF!+#REF!+'10年増額'!S14+'10年増額'!S15+#REF!+#REF!+#REF!+'10年増額'!S27+'10年増額'!S30+#REF!+#REF!+#REF!+#REF!+'10年増額'!S54</f>
        <v>#REF!</v>
      </c>
      <c r="T123" s="115"/>
      <c r="U123" s="115"/>
      <c r="V123" s="115"/>
      <c r="W123" s="115"/>
      <c r="X123" s="115"/>
      <c r="Y123" s="146"/>
      <c r="Z123" s="114" t="e">
        <f>#REF!+'10年増額'!Z30+#REF!+#REF!+#REF!+Z59+Z102+#REF!+Z121+Z122</f>
        <v>#REF!</v>
      </c>
      <c r="AA123" s="76" t="e">
        <f>R123-S123-T123-U123-V123</f>
        <v>#REF!</v>
      </c>
    </row>
    <row r="124" spans="11:27" ht="18" customHeight="1" thickBot="1">
      <c r="K124" s="76"/>
      <c r="R124" s="76"/>
      <c r="S124" s="76"/>
      <c r="T124" s="115"/>
      <c r="U124" s="115"/>
      <c r="V124" s="25"/>
      <c r="W124" s="115"/>
      <c r="X124" s="115"/>
      <c r="Y124" s="146"/>
      <c r="Z124" s="113"/>
      <c r="AA124" s="76"/>
    </row>
    <row r="125" spans="2:27" ht="37.5" customHeight="1" thickBot="1">
      <c r="B125" s="860" t="s">
        <v>375</v>
      </c>
      <c r="C125" s="861"/>
      <c r="D125" s="861"/>
      <c r="E125" s="862"/>
      <c r="F125" s="31">
        <f>F120+'10年増額'!F62</f>
        <v>363902330</v>
      </c>
      <c r="G125" s="376"/>
      <c r="H125" s="376"/>
      <c r="I125" s="376"/>
      <c r="J125" s="634"/>
      <c r="K125" s="635">
        <f>K120+'10年増額'!K62</f>
        <v>-52760897.8</v>
      </c>
      <c r="L125" s="375"/>
      <c r="M125" s="376"/>
      <c r="N125" s="376"/>
      <c r="O125" s="376"/>
      <c r="P125" s="376"/>
      <c r="Q125" s="376"/>
      <c r="R125" s="31"/>
      <c r="S125" s="369">
        <f>S120+'10年増額'!S62</f>
        <v>-11975514.2</v>
      </c>
      <c r="T125" s="111">
        <f>T120+'10年増額'!T62</f>
        <v>-4996884</v>
      </c>
      <c r="U125" s="111">
        <f>U120+'10年増額'!U62</f>
        <v>-35788500</v>
      </c>
      <c r="V125" s="112">
        <f>V120+'10年増額'!V62</f>
        <v>0</v>
      </c>
      <c r="W125" s="114"/>
      <c r="X125" s="112"/>
      <c r="Y125" s="87"/>
      <c r="AA125" s="128">
        <f>K125-S125-T125-U125-V125</f>
        <v>0.4000000059604645</v>
      </c>
    </row>
    <row r="126" spans="11:27" ht="13.5" hidden="1">
      <c r="K126" s="76" t="e">
        <f>K120-K123</f>
        <v>#REF!</v>
      </c>
      <c r="R126" s="76" t="e">
        <f>R120-R123</f>
        <v>#REF!</v>
      </c>
      <c r="S126" s="76" t="e">
        <f>S120-S123</f>
        <v>#REF!</v>
      </c>
      <c r="T126" s="115"/>
      <c r="U126" s="115"/>
      <c r="V126" s="115"/>
      <c r="W126" s="115"/>
      <c r="X126" s="115"/>
      <c r="Y126" s="146"/>
      <c r="AA126" s="76" t="e">
        <f>R126-S126-T126-U126-V126</f>
        <v>#REF!</v>
      </c>
    </row>
    <row r="127" spans="20:25" ht="13.5">
      <c r="T127" s="25"/>
      <c r="U127" s="25"/>
      <c r="V127" s="25"/>
      <c r="W127" s="25"/>
      <c r="X127" s="25"/>
      <c r="Y127" s="146"/>
    </row>
    <row r="128" spans="20:25" ht="13.5">
      <c r="T128" s="25"/>
      <c r="U128" s="25"/>
      <c r="V128" s="116"/>
      <c r="W128" s="25"/>
      <c r="X128" s="25"/>
      <c r="Y128" s="146"/>
    </row>
    <row r="129" spans="20:25" ht="13.5">
      <c r="T129" s="25"/>
      <c r="U129" s="25"/>
      <c r="V129" s="62"/>
      <c r="W129" s="25"/>
      <c r="X129" s="25"/>
      <c r="Y129" s="146"/>
    </row>
    <row r="130" spans="20:25" ht="13.5">
      <c r="T130" s="25"/>
      <c r="U130" s="25"/>
      <c r="V130" s="117"/>
      <c r="W130" s="25"/>
      <c r="X130" s="25"/>
      <c r="Y130" s="146"/>
    </row>
    <row r="131" spans="20:25" ht="13.5">
      <c r="T131" s="854"/>
      <c r="U131" s="854"/>
      <c r="V131" s="117"/>
      <c r="W131" s="25"/>
      <c r="X131" s="25"/>
      <c r="Y131" s="146"/>
    </row>
  </sheetData>
  <mergeCells count="6">
    <mergeCell ref="B7:B8"/>
    <mergeCell ref="T131:U131"/>
    <mergeCell ref="B125:E125"/>
    <mergeCell ref="G3:J3"/>
    <mergeCell ref="M3:P3"/>
    <mergeCell ref="S3:V3"/>
  </mergeCells>
  <printOptions/>
  <pageMargins left="0.48" right="0.35433070866141736" top="0.57" bottom="0.58" header="0.31496062992125984" footer="0.1968503937007874"/>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nami</dc:creator>
  <cp:keywords/>
  <dc:description/>
  <cp:lastModifiedBy>norio kodama</cp:lastModifiedBy>
  <cp:lastPrinted>2011-03-08T12:37:33Z</cp:lastPrinted>
  <dcterms:created xsi:type="dcterms:W3CDTF">2004-03-12T03:24:40Z</dcterms:created>
  <dcterms:modified xsi:type="dcterms:W3CDTF">2011-03-08T13:12:05Z</dcterms:modified>
  <cp:category/>
  <cp:version/>
  <cp:contentType/>
  <cp:contentStatus/>
</cp:coreProperties>
</file>